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" sheetId="12" r:id="rId12"/>
  </sheets>
  <externalReferences>
    <externalReference r:id="rId15"/>
  </externalReferences>
  <definedNames>
    <definedName name="_xlnm.Print_Area" localSheetId="11">'січень'!$A$1:$R$87</definedName>
    <definedName name="_xlnm.Print_Area" localSheetId="5">'червень'!$B$2:$J$85</definedName>
  </definedNames>
  <calcPr fullCalcOnLoad="1"/>
</workbook>
</file>

<file path=xl/sharedStrings.xml><?xml version="1.0" encoding="utf-8"?>
<sst xmlns="http://schemas.openxmlformats.org/spreadsheetml/2006/main" count="1558" uniqueCount="224">
  <si>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</si>
  <si>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</si>
  <si>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</si>
  <si>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</si>
  <si>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</si>
  <si>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</si>
  <si>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</si>
  <si>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</si>
  <si>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</si>
  <si>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</si>
  <si>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</si>
  <si>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</si>
  <si>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</si>
  <si>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</si>
  <si>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</si>
  <si>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</si>
  <si>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</si>
  <si>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</si>
  <si>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</si>
  <si>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</si>
  <si>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</si>
  <si>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</si>
  <si>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</si>
  <si>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</si>
  <si>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</si>
  <si>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</si>
  <si>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</si>
  <si>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</si>
  <si>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</si>
  <si>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</si>
  <si>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</si>
  <si>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</si>
  <si>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</si>
  <si>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</si>
  <si>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</si>
  <si>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</si>
  <si>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</si>
  <si>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</si>
  <si>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</si>
  <si>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</si>
  <si>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</si>
  <si>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</si>
  <si>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</si>
  <si>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</si>
  <si>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</si>
  <si>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</si>
  <si>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</si>
  <si>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</si>
  <si>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</si>
  <si>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</si>
  <si>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</si>
  <si>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</si>
  <si>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</si>
  <si>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</si>
  <si>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</si>
  <si>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</si>
  <si>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</si>
  <si>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</si>
  <si>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</si>
  <si>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</si>
  <si>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</si>
  <si>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</si>
  <si>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</si>
  <si>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</si>
  <si>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</si>
  <si>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</si>
  <si>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</si>
  <si>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</si>
  <si>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</si>
  <si>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</si>
  <si>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</si>
  <si>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</si>
  <si>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</si>
  <si>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</si>
  <si>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</si>
  <si>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</si>
  <si>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</si>
  <si>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</si>
  <si>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</si>
  <si>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</si>
  <si>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</si>
  <si>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</si>
  <si>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</si>
  <si>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</si>
  <si>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</si>
  <si>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</si>
  <si>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</si>
  <si>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</si>
  <si>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</si>
  <si>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</si>
  <si>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</si>
  <si>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</si>
  <si>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</si>
  <si>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</si>
  <si>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</si>
  <si>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</si>
  <si>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</si>
  <si>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</si>
  <si>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</si>
  <si>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</si>
  <si>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</si>
  <si>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</si>
  <si>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</si>
  <si>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</si>
  <si>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</si>
  <si>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</si>
  <si>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</si>
  <si>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</si>
  <si>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</si>
  <si>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</si>
  <si>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</si>
  <si>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</si>
  <si>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</si>
  <si>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</si>
  <si>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</si>
  <si>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</si>
  <si>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</si>
  <si>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</si>
  <si>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</si>
  <si>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</si>
  <si>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</si>
  <si>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</si>
  <si>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</si>
  <si>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</si>
  <si>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</si>
  <si>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</si>
  <si>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</si>
  <si>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</si>
  <si>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</si>
  <si>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</si>
  <si>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</si>
  <si>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</si>
  <si>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</si>
  <si>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</si>
  <si>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</si>
  <si>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</si>
  <si>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</si>
  <si>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</si>
  <si>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</si>
  <si>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</si>
  <si>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</si>
  <si>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</si>
  <si>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</si>
  <si>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</si>
  <si>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</si>
  <si>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</si>
  <si>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</si>
  <si>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</si>
  <si>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</si>
  <si>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</si>
  <si>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</si>
  <si>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</si>
  <si>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</si>
  <si>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</si>
  <si>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</si>
  <si>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</si>
  <si>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</si>
  <si>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</si>
  <si>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</si>
  <si>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</si>
  <si>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</si>
  <si>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</si>
  <si>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</si>
  <si>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</si>
  <si>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</si>
  <si>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</si>
  <si>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</si>
  <si>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</si>
  <si>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</si>
  <si>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</si>
  <si>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</si>
  <si>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</si>
  <si>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</si>
  <si>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</si>
  <si>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</si>
  <si>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</si>
  <si>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</si>
  <si>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</si>
  <si>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</si>
  <si>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</si>
  <si>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</si>
  <si>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</si>
  <si>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</si>
  <si>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</si>
  <si>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</si>
  <si>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</si>
  <si>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</si>
  <si>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</si>
  <si>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</si>
  <si>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</si>
  <si>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</si>
  <si>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</si>
  <si>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</si>
  <si>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</si>
  <si>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</si>
  <si>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</si>
  <si>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</si>
  <si>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</si>
  <si>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</si>
  <si>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</si>
  <si>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</si>
  <si>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</si>
  <si>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</si>
  <si>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</si>
  <si>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</si>
  <si>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</si>
  <si>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</si>
  <si>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</si>
  <si>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</si>
  <si>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</si>
  <si>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</si>
  <si>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</si>
  <si>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</si>
  <si>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</si>
  <si>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</si>
  <si>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31.10.16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</si>
  <si>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02.11.2016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</si>
  <si>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01.11.16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</si>
  <si>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</si>
  <si>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2016 року</t>
  </si>
  <si>
    <t>% виконання  плану на січень-листопад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</si>
  <si>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</si>
  <si>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</si>
  <si>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2016 та 2015 років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</si>
</sst>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G6">
            <v>6623201.42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7" t="s">
        <v>216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92"/>
      <c r="S1" s="93"/>
    </row>
    <row r="2" spans="2:19" s="1" customFormat="1" ht="15.75" customHeight="1">
      <c r="B2" s="438"/>
      <c r="C2" s="438"/>
      <c r="D2" s="438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9"/>
      <c r="B3" s="441"/>
      <c r="C3" s="442" t="s">
        <v>0</v>
      </c>
      <c r="D3" s="443" t="s">
        <v>121</v>
      </c>
      <c r="E3" s="34"/>
      <c r="F3" s="444" t="s">
        <v>26</v>
      </c>
      <c r="G3" s="445"/>
      <c r="H3" s="445"/>
      <c r="I3" s="445"/>
      <c r="J3" s="446"/>
      <c r="K3" s="89"/>
      <c r="L3" s="89"/>
      <c r="M3" s="89"/>
      <c r="N3" s="447" t="s">
        <v>221</v>
      </c>
      <c r="O3" s="448" t="s">
        <v>222</v>
      </c>
      <c r="P3" s="448"/>
      <c r="Q3" s="448"/>
      <c r="R3" s="448"/>
      <c r="S3" s="448"/>
    </row>
    <row r="4" spans="1:19" ht="22.5" customHeight="1">
      <c r="A4" s="439"/>
      <c r="B4" s="441"/>
      <c r="C4" s="442"/>
      <c r="D4" s="443"/>
      <c r="E4" s="449" t="s">
        <v>218</v>
      </c>
      <c r="F4" s="431" t="s">
        <v>34</v>
      </c>
      <c r="G4" s="424" t="s">
        <v>219</v>
      </c>
      <c r="H4" s="433" t="s">
        <v>220</v>
      </c>
      <c r="I4" s="424" t="s">
        <v>122</v>
      </c>
      <c r="J4" s="433" t="s">
        <v>123</v>
      </c>
      <c r="K4" s="91" t="s">
        <v>186</v>
      </c>
      <c r="L4" s="249" t="s">
        <v>185</v>
      </c>
      <c r="M4" s="96" t="s">
        <v>64</v>
      </c>
      <c r="N4" s="433"/>
      <c r="O4" s="435" t="s">
        <v>217</v>
      </c>
      <c r="P4" s="424" t="s">
        <v>50</v>
      </c>
      <c r="Q4" s="426" t="s">
        <v>49</v>
      </c>
      <c r="R4" s="97" t="s">
        <v>65</v>
      </c>
      <c r="S4" s="98" t="s">
        <v>64</v>
      </c>
    </row>
    <row r="5" spans="1:19" ht="67.5" customHeight="1">
      <c r="A5" s="440"/>
      <c r="B5" s="441"/>
      <c r="C5" s="442"/>
      <c r="D5" s="443"/>
      <c r="E5" s="450"/>
      <c r="F5" s="432"/>
      <c r="G5" s="425"/>
      <c r="H5" s="434"/>
      <c r="I5" s="425"/>
      <c r="J5" s="434"/>
      <c r="K5" s="427" t="s">
        <v>223</v>
      </c>
      <c r="L5" s="428"/>
      <c r="M5" s="429"/>
      <c r="N5" s="434"/>
      <c r="O5" s="436"/>
      <c r="P5" s="425"/>
      <c r="Q5" s="426"/>
      <c r="R5" s="427" t="s">
        <v>120</v>
      </c>
      <c r="S5" s="429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884421.85</v>
      </c>
      <c r="F8" s="191">
        <f>F9+F15+F18+F19+F20+F37+F17</f>
        <v>798861.2999999999</v>
      </c>
      <c r="G8" s="191">
        <f aca="true" t="shared" si="0" ref="G8:G37">F8-E8</f>
        <v>-85560.55000000005</v>
      </c>
      <c r="H8" s="192">
        <f>F8/E8*100</f>
        <v>90.32582132610133</v>
      </c>
      <c r="I8" s="193">
        <f>F8-D8</f>
        <v>-158210.15000000014</v>
      </c>
      <c r="J8" s="193">
        <f>F8/D8*100</f>
        <v>83.46934808263269</v>
      </c>
      <c r="K8" s="191">
        <v>608809.78</v>
      </c>
      <c r="L8" s="191">
        <f aca="true" t="shared" si="1" ref="L8:L51">F8-K8</f>
        <v>190051.5199999999</v>
      </c>
      <c r="M8" s="250">
        <f aca="true" t="shared" si="2" ref="M8:M28">F8/K8</f>
        <v>1.3121689667994492</v>
      </c>
      <c r="N8" s="191">
        <f>N9+N15+N18+N19+N20+N17</f>
        <v>88745.92000000001</v>
      </c>
      <c r="O8" s="191">
        <f>O9+O15+O18+O19+O20+O17</f>
        <v>1242.5399999999645</v>
      </c>
      <c r="P8" s="191">
        <f>O8-N8</f>
        <v>-87503.38000000005</v>
      </c>
      <c r="Q8" s="191">
        <f>O8/N8*100</f>
        <v>1.4001094360168493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481720.67</v>
      </c>
      <c r="F9" s="196">
        <v>431889.17</v>
      </c>
      <c r="G9" s="190">
        <f t="shared" si="0"/>
        <v>-49831.5</v>
      </c>
      <c r="H9" s="197">
        <f>F9/E9*100</f>
        <v>89.65551966038741</v>
      </c>
      <c r="I9" s="198">
        <f>F9-D9</f>
        <v>-98699.83000000002</v>
      </c>
      <c r="J9" s="198">
        <f>F9/D9*100</f>
        <v>81.39806328438772</v>
      </c>
      <c r="K9" s="412">
        <v>329224.03</v>
      </c>
      <c r="L9" s="199">
        <f t="shared" si="1"/>
        <v>102665.13999999996</v>
      </c>
      <c r="M9" s="251">
        <f t="shared" si="2"/>
        <v>1.3118397524020344</v>
      </c>
      <c r="N9" s="197">
        <f>E9-жовтень!E9</f>
        <v>52597</v>
      </c>
      <c r="O9" s="200">
        <f>F9-жовтень!F9</f>
        <v>606.3800000000047</v>
      </c>
      <c r="P9" s="201">
        <f>O9-N9</f>
        <v>-51990.619999999995</v>
      </c>
      <c r="Q9" s="198">
        <f>O9/N9*100</f>
        <v>1.1528794417932668</v>
      </c>
      <c r="R9" s="106"/>
      <c r="S9" s="107"/>
      <c r="T9" s="186">
        <f>D9-E9</f>
        <v>48868.330000000016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437450.24</v>
      </c>
      <c r="F10" s="171">
        <v>379996.51</v>
      </c>
      <c r="G10" s="109">
        <f t="shared" si="0"/>
        <v>-57453.72999999998</v>
      </c>
      <c r="H10" s="32">
        <f aca="true" t="shared" si="3" ref="H10:H36">F10/E10*100</f>
        <v>86.86622505910616</v>
      </c>
      <c r="I10" s="110">
        <f aca="true" t="shared" si="4" ref="I10:I37">F10-D10</f>
        <v>-105212.48999999999</v>
      </c>
      <c r="J10" s="110">
        <f aca="true" t="shared" si="5" ref="J10:J36">F10/D10*100</f>
        <v>78.31604731157088</v>
      </c>
      <c r="K10" s="112">
        <v>292222.53</v>
      </c>
      <c r="L10" s="112">
        <f t="shared" si="1"/>
        <v>87773.97999999998</v>
      </c>
      <c r="M10" s="252">
        <f t="shared" si="2"/>
        <v>1.3003669155831346</v>
      </c>
      <c r="N10" s="111">
        <f>E10-жовтень!E10</f>
        <v>51300</v>
      </c>
      <c r="O10" s="179">
        <f>F10-жовтень!F10</f>
        <v>548.1600000000326</v>
      </c>
      <c r="P10" s="112">
        <f aca="true" t="shared" si="6" ref="P10:P37">O10-N10</f>
        <v>-50751.83999999997</v>
      </c>
      <c r="Q10" s="198">
        <f aca="true" t="shared" si="7" ref="Q10:Q16">O10/N10*100</f>
        <v>1.06853801169597</v>
      </c>
      <c r="R10" s="42"/>
      <c r="S10" s="100"/>
      <c r="T10" s="186">
        <f aca="true" t="shared" si="8" ref="T10:T73">D10-E10</f>
        <v>47758.76000000001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22914.94</v>
      </c>
      <c r="F11" s="171">
        <v>32764.1</v>
      </c>
      <c r="G11" s="109">
        <f t="shared" si="0"/>
        <v>9849.16</v>
      </c>
      <c r="H11" s="32">
        <f t="shared" si="3"/>
        <v>142.98139117972818</v>
      </c>
      <c r="I11" s="110">
        <f t="shared" si="4"/>
        <v>9764.099999999999</v>
      </c>
      <c r="J11" s="110">
        <f t="shared" si="5"/>
        <v>142.45260869565217</v>
      </c>
      <c r="K11" s="112">
        <v>17520.05</v>
      </c>
      <c r="L11" s="112">
        <f t="shared" si="1"/>
        <v>15244.05</v>
      </c>
      <c r="M11" s="252">
        <f t="shared" si="2"/>
        <v>1.870091694943793</v>
      </c>
      <c r="N11" s="111">
        <f>E11-жовтень!E11</f>
        <v>100</v>
      </c>
      <c r="O11" s="179">
        <f>F11-жовтень!F11</f>
        <v>0</v>
      </c>
      <c r="P11" s="112">
        <f t="shared" si="6"/>
        <v>-100</v>
      </c>
      <c r="Q11" s="198">
        <f t="shared" si="7"/>
        <v>0</v>
      </c>
      <c r="R11" s="42"/>
      <c r="S11" s="100"/>
      <c r="T11" s="186">
        <f t="shared" si="8"/>
        <v>85.06000000000131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6460.61</v>
      </c>
      <c r="F12" s="171">
        <v>8003.56</v>
      </c>
      <c r="G12" s="109">
        <f t="shared" si="0"/>
        <v>1542.9500000000007</v>
      </c>
      <c r="H12" s="32">
        <f t="shared" si="3"/>
        <v>123.88241977150764</v>
      </c>
      <c r="I12" s="110">
        <f t="shared" si="4"/>
        <v>1503.5600000000004</v>
      </c>
      <c r="J12" s="110">
        <f t="shared" si="5"/>
        <v>123.13169230769232</v>
      </c>
      <c r="K12" s="112">
        <v>4581.23</v>
      </c>
      <c r="L12" s="112">
        <f t="shared" si="1"/>
        <v>3422.330000000001</v>
      </c>
      <c r="M12" s="252">
        <f t="shared" si="2"/>
        <v>1.7470330020540337</v>
      </c>
      <c r="N12" s="111">
        <f>E12-жовтень!E12</f>
        <v>80</v>
      </c>
      <c r="O12" s="179">
        <f>F12-жовтень!F12</f>
        <v>26.99000000000069</v>
      </c>
      <c r="P12" s="112">
        <f t="shared" si="6"/>
        <v>-53.00999999999931</v>
      </c>
      <c r="Q12" s="198">
        <f t="shared" si="7"/>
        <v>33.737500000000864</v>
      </c>
      <c r="R12" s="42"/>
      <c r="S12" s="100"/>
      <c r="T12" s="186">
        <f t="shared" si="8"/>
        <v>39.39000000000033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11414.84</v>
      </c>
      <c r="F13" s="171">
        <v>8381.01</v>
      </c>
      <c r="G13" s="109">
        <f t="shared" si="0"/>
        <v>-3033.83</v>
      </c>
      <c r="H13" s="32">
        <f t="shared" si="3"/>
        <v>73.42205409799874</v>
      </c>
      <c r="I13" s="110">
        <f t="shared" si="4"/>
        <v>-4018.99</v>
      </c>
      <c r="J13" s="110">
        <f t="shared" si="5"/>
        <v>67.58879032258065</v>
      </c>
      <c r="K13" s="112">
        <v>6730.35</v>
      </c>
      <c r="L13" s="112">
        <f t="shared" si="1"/>
        <v>1650.6599999999999</v>
      </c>
      <c r="M13" s="252">
        <f t="shared" si="2"/>
        <v>1.2452561902427066</v>
      </c>
      <c r="N13" s="111">
        <f>E13-жовтень!E13</f>
        <v>1100</v>
      </c>
      <c r="O13" s="179">
        <f>F13-жовтень!F13</f>
        <v>31.219999999999345</v>
      </c>
      <c r="P13" s="112">
        <f t="shared" si="6"/>
        <v>-1068.7800000000007</v>
      </c>
      <c r="Q13" s="198">
        <f t="shared" si="7"/>
        <v>2.8381818181817584</v>
      </c>
      <c r="R13" s="42"/>
      <c r="S13" s="100"/>
      <c r="T13" s="186">
        <f t="shared" si="8"/>
        <v>985.1599999999999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3480.04</v>
      </c>
      <c r="F14" s="171">
        <v>2743.99</v>
      </c>
      <c r="G14" s="109">
        <f t="shared" si="0"/>
        <v>-736.0500000000002</v>
      </c>
      <c r="H14" s="32">
        <f t="shared" si="3"/>
        <v>78.84938104159723</v>
      </c>
      <c r="I14" s="110">
        <f t="shared" si="4"/>
        <v>-736.0100000000002</v>
      </c>
      <c r="J14" s="110">
        <f t="shared" si="5"/>
        <v>78.85028735632183</v>
      </c>
      <c r="K14" s="112">
        <v>8169.86</v>
      </c>
      <c r="L14" s="112">
        <f t="shared" si="1"/>
        <v>-5425.87</v>
      </c>
      <c r="M14" s="252">
        <f t="shared" si="2"/>
        <v>0.3358674444849728</v>
      </c>
      <c r="N14" s="111">
        <f>E14-жовтень!E14</f>
        <v>17</v>
      </c>
      <c r="O14" s="179">
        <f>F14-жовтень!F14</f>
        <v>0</v>
      </c>
      <c r="P14" s="112">
        <f t="shared" si="6"/>
        <v>-17</v>
      </c>
      <c r="Q14" s="198">
        <f t="shared" si="7"/>
        <v>0</v>
      </c>
      <c r="R14" s="42"/>
      <c r="S14" s="100"/>
      <c r="T14" s="186">
        <f t="shared" si="8"/>
        <v>-0.03999999999996362</v>
      </c>
      <c r="U14" s="273">
        <v>2880</v>
      </c>
      <c r="V14" s="186">
        <f>U14-T14</f>
        <v>2880.04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495</v>
      </c>
      <c r="F15" s="196">
        <v>386.82</v>
      </c>
      <c r="G15" s="190">
        <f t="shared" si="0"/>
        <v>-108.18</v>
      </c>
      <c r="H15" s="197">
        <f>F15/E15*100</f>
        <v>78.14545454545454</v>
      </c>
      <c r="I15" s="198">
        <f t="shared" si="4"/>
        <v>-113.18</v>
      </c>
      <c r="J15" s="198">
        <f t="shared" si="5"/>
        <v>77.364</v>
      </c>
      <c r="K15" s="201">
        <v>-536.92</v>
      </c>
      <c r="L15" s="201">
        <f t="shared" si="1"/>
        <v>923.74</v>
      </c>
      <c r="M15" s="253">
        <f t="shared" si="2"/>
        <v>-0.7204425240259257</v>
      </c>
      <c r="N15" s="197">
        <f>E15-жовтень!E15</f>
        <v>115</v>
      </c>
      <c r="O15" s="200">
        <f>F15-жовтень!F15</f>
        <v>0</v>
      </c>
      <c r="P15" s="201">
        <f t="shared" si="6"/>
        <v>-115</v>
      </c>
      <c r="Q15" s="198">
        <f t="shared" si="7"/>
        <v>0</v>
      </c>
      <c r="R15" s="42"/>
      <c r="S15" s="100"/>
      <c r="T15" s="186">
        <f t="shared" si="8"/>
        <v>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E16-жовтень!E16</f>
        <v>0</v>
      </c>
      <c r="O16" s="200">
        <f>F16-жовтень!F16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E17-жовтень!E17</f>
        <v>0</v>
      </c>
      <c r="O17" s="200">
        <f>F17-жовтень!F17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107.4</v>
      </c>
      <c r="L18" s="201">
        <f t="shared" si="1"/>
        <v>-1.6000000000000085</v>
      </c>
      <c r="M18" s="253">
        <f t="shared" si="2"/>
        <v>0.9851024208566107</v>
      </c>
      <c r="N18" s="197">
        <f>E18-жовтень!E18</f>
        <v>0</v>
      </c>
      <c r="O18" s="200">
        <f>F18-жовтень!F18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101400.4</v>
      </c>
      <c r="F19" s="196">
        <v>83632.45</v>
      </c>
      <c r="G19" s="190">
        <f t="shared" si="0"/>
        <v>-17767.949999999997</v>
      </c>
      <c r="H19" s="197">
        <f t="shared" si="3"/>
        <v>82.47743598644581</v>
      </c>
      <c r="I19" s="198">
        <f t="shared" si="4"/>
        <v>-26267.550000000003</v>
      </c>
      <c r="J19" s="198">
        <f t="shared" si="5"/>
        <v>76.09868061874431</v>
      </c>
      <c r="K19" s="209">
        <v>65538.97</v>
      </c>
      <c r="L19" s="201">
        <f t="shared" si="1"/>
        <v>18093.479999999996</v>
      </c>
      <c r="M19" s="259">
        <f t="shared" si="2"/>
        <v>1.2760720835252675</v>
      </c>
      <c r="N19" s="197">
        <f>E19-жовтень!E19</f>
        <v>10440</v>
      </c>
      <c r="O19" s="200">
        <f>F19-жовтень!F19</f>
        <v>2.0200000000040745</v>
      </c>
      <c r="P19" s="201">
        <f t="shared" si="6"/>
        <v>-10437.979999999996</v>
      </c>
      <c r="Q19" s="198">
        <f aca="true" t="shared" si="9" ref="Q19:Q24">O19/N19*100</f>
        <v>0.019348659003870446</v>
      </c>
      <c r="R19" s="113"/>
      <c r="S19" s="114"/>
      <c r="T19" s="186">
        <f t="shared" si="8"/>
        <v>8499.600000000006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300699.98</v>
      </c>
      <c r="F20" s="272">
        <f>F21+F29+F30+F31+F32</f>
        <v>282846.88999999996</v>
      </c>
      <c r="G20" s="190">
        <f t="shared" si="0"/>
        <v>-17853.090000000026</v>
      </c>
      <c r="H20" s="197">
        <f t="shared" si="3"/>
        <v>94.06282301714818</v>
      </c>
      <c r="I20" s="198">
        <f t="shared" si="4"/>
        <v>-33129.76000000007</v>
      </c>
      <c r="J20" s="198">
        <f t="shared" si="5"/>
        <v>89.5151239814714</v>
      </c>
      <c r="K20" s="198">
        <v>207711.81</v>
      </c>
      <c r="L20" s="201">
        <f t="shared" si="1"/>
        <v>75135.07999999996</v>
      </c>
      <c r="M20" s="254">
        <f t="shared" si="2"/>
        <v>1.3617275300812215</v>
      </c>
      <c r="N20" s="197">
        <f>N21+N30+N31+N32</f>
        <v>25593.920000000013</v>
      </c>
      <c r="O20" s="200">
        <f>F20-жовтень!F20</f>
        <v>634.1399999999558</v>
      </c>
      <c r="P20" s="201">
        <f t="shared" si="6"/>
        <v>-24959.780000000057</v>
      </c>
      <c r="Q20" s="198">
        <f t="shared" si="9"/>
        <v>2.4776978282340316</v>
      </c>
      <c r="R20" s="113"/>
      <c r="S20" s="114"/>
      <c r="T20" s="186">
        <f t="shared" si="8"/>
        <v>15276.670000000042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162963.42</v>
      </c>
      <c r="F21" s="211">
        <f>F22+F25+F26</f>
        <v>153858.37</v>
      </c>
      <c r="G21" s="190">
        <f t="shared" si="0"/>
        <v>-9105.050000000017</v>
      </c>
      <c r="H21" s="197">
        <f t="shared" si="3"/>
        <v>94.41282589675644</v>
      </c>
      <c r="I21" s="198">
        <f t="shared" si="4"/>
        <v>-21041.28</v>
      </c>
      <c r="J21" s="198">
        <f t="shared" si="5"/>
        <v>87.96951280348473</v>
      </c>
      <c r="K21" s="198">
        <v>109750.31</v>
      </c>
      <c r="L21" s="201">
        <f t="shared" si="1"/>
        <v>44108.06</v>
      </c>
      <c r="M21" s="254">
        <f t="shared" si="2"/>
        <v>1.4018946279058346</v>
      </c>
      <c r="N21" s="197">
        <f>N22+N25+N26</f>
        <v>13520.01000000001</v>
      </c>
      <c r="O21" s="200">
        <f>F21-жовтень!F21</f>
        <v>202.04999999998836</v>
      </c>
      <c r="P21" s="201">
        <f t="shared" si="6"/>
        <v>-13317.960000000021</v>
      </c>
      <c r="Q21" s="198">
        <f t="shared" si="9"/>
        <v>1.4944515573582284</v>
      </c>
      <c r="R21" s="113"/>
      <c r="S21" s="114"/>
      <c r="T21" s="186">
        <f t="shared" si="8"/>
        <v>11936.229999999981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17724.4</v>
      </c>
      <c r="F22" s="213">
        <v>20313.96</v>
      </c>
      <c r="G22" s="212">
        <f t="shared" si="0"/>
        <v>2589.5599999999977</v>
      </c>
      <c r="H22" s="214">
        <f t="shared" si="3"/>
        <v>114.61014195120849</v>
      </c>
      <c r="I22" s="215">
        <f t="shared" si="4"/>
        <v>1813.9599999999991</v>
      </c>
      <c r="J22" s="215">
        <f t="shared" si="5"/>
        <v>109.80518918918918</v>
      </c>
      <c r="K22" s="216">
        <v>12713.66</v>
      </c>
      <c r="L22" s="206">
        <f t="shared" si="1"/>
        <v>7600.299999999999</v>
      </c>
      <c r="M22" s="262">
        <f t="shared" si="2"/>
        <v>1.5978058246012556</v>
      </c>
      <c r="N22" s="214">
        <f>E22-жовтень!E22</f>
        <v>400</v>
      </c>
      <c r="O22" s="217">
        <f>F22-жовтень!F22</f>
        <v>92.56999999999971</v>
      </c>
      <c r="P22" s="218">
        <f t="shared" si="6"/>
        <v>-307.4300000000003</v>
      </c>
      <c r="Q22" s="215">
        <f t="shared" si="9"/>
        <v>23.142499999999927</v>
      </c>
      <c r="R22" s="113"/>
      <c r="S22" s="114"/>
      <c r="T22" s="186">
        <f t="shared" si="8"/>
        <v>775.5999999999985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1424.4</v>
      </c>
      <c r="F23" s="203">
        <v>795.89</v>
      </c>
      <c r="G23" s="241">
        <f t="shared" si="0"/>
        <v>-628.5100000000001</v>
      </c>
      <c r="H23" s="242">
        <f t="shared" si="3"/>
        <v>55.87545633249087</v>
      </c>
      <c r="I23" s="243">
        <f t="shared" si="4"/>
        <v>-1204.1100000000001</v>
      </c>
      <c r="J23" s="243">
        <f t="shared" si="5"/>
        <v>39.7945</v>
      </c>
      <c r="K23" s="243">
        <v>683.67</v>
      </c>
      <c r="L23" s="243">
        <f t="shared" si="1"/>
        <v>112.22000000000003</v>
      </c>
      <c r="M23" s="413">
        <f t="shared" si="2"/>
        <v>1.1641435195342782</v>
      </c>
      <c r="N23" s="242">
        <f>E23-жовтень!E23</f>
        <v>200</v>
      </c>
      <c r="O23" s="242">
        <f>F23-жовтень!F23</f>
        <v>0.35000000000002274</v>
      </c>
      <c r="P23" s="243">
        <f t="shared" si="6"/>
        <v>-199.64999999999998</v>
      </c>
      <c r="Q23" s="243">
        <f t="shared" si="9"/>
        <v>0.17500000000001137</v>
      </c>
      <c r="R23" s="113"/>
      <c r="S23" s="114"/>
      <c r="T23" s="186">
        <f t="shared" si="8"/>
        <v>575.5999999999999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16300</v>
      </c>
      <c r="F24" s="203">
        <v>19518.08</v>
      </c>
      <c r="G24" s="241">
        <f t="shared" si="0"/>
        <v>3218.0800000000017</v>
      </c>
      <c r="H24" s="242">
        <f t="shared" si="3"/>
        <v>119.74282208588957</v>
      </c>
      <c r="I24" s="243">
        <f t="shared" si="4"/>
        <v>3018.0800000000017</v>
      </c>
      <c r="J24" s="243">
        <f t="shared" si="5"/>
        <v>118.29139393939394</v>
      </c>
      <c r="K24" s="243">
        <v>12029.99</v>
      </c>
      <c r="L24" s="243">
        <f t="shared" si="1"/>
        <v>7488.090000000002</v>
      </c>
      <c r="M24" s="413">
        <f t="shared" si="2"/>
        <v>1.622451888987439</v>
      </c>
      <c r="N24" s="242">
        <f>E24-жовтень!E24</f>
        <v>200</v>
      </c>
      <c r="O24" s="242">
        <f>F24-жовтень!F24</f>
        <v>92.2300000000032</v>
      </c>
      <c r="P24" s="243">
        <f t="shared" si="6"/>
        <v>-107.7699999999968</v>
      </c>
      <c r="Q24" s="243">
        <f t="shared" si="9"/>
        <v>46.1150000000016</v>
      </c>
      <c r="R24" s="113"/>
      <c r="S24" s="114"/>
      <c r="T24" s="186">
        <f t="shared" si="8"/>
        <v>200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3649.2</v>
      </c>
      <c r="L25" s="215">
        <f t="shared" si="1"/>
        <v>-2838.91</v>
      </c>
      <c r="M25" s="257">
        <f t="shared" si="2"/>
        <v>0.22204592787460264</v>
      </c>
      <c r="N25" s="214">
        <f>E25-жовтень!E25</f>
        <v>0</v>
      </c>
      <c r="O25" s="217">
        <f>F25-жовтень!F25</f>
        <v>0</v>
      </c>
      <c r="P25" s="218">
        <f t="shared" si="6"/>
        <v>0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144258.98</v>
      </c>
      <c r="F26" s="213">
        <v>132734.12</v>
      </c>
      <c r="G26" s="212">
        <f t="shared" si="0"/>
        <v>-11524.860000000015</v>
      </c>
      <c r="H26" s="214">
        <f t="shared" si="3"/>
        <v>92.01099300715974</v>
      </c>
      <c r="I26" s="215">
        <f t="shared" si="4"/>
        <v>-22665.53</v>
      </c>
      <c r="J26" s="215">
        <f t="shared" si="5"/>
        <v>85.41468400990607</v>
      </c>
      <c r="K26" s="216">
        <v>93387.45</v>
      </c>
      <c r="L26" s="216">
        <f t="shared" si="1"/>
        <v>39346.67</v>
      </c>
      <c r="M26" s="256">
        <f t="shared" si="2"/>
        <v>1.4213271697642456</v>
      </c>
      <c r="N26" s="214">
        <f>E26-жовтень!E26</f>
        <v>13120.01000000001</v>
      </c>
      <c r="O26" s="217">
        <f>F26-жовтень!F26</f>
        <v>109.47999999998137</v>
      </c>
      <c r="P26" s="218">
        <f t="shared" si="6"/>
        <v>-13010.530000000028</v>
      </c>
      <c r="Q26" s="215">
        <f>O26/N26*100</f>
        <v>0.8344505834978884</v>
      </c>
      <c r="R26" s="113"/>
      <c r="S26" s="114"/>
      <c r="T26" s="186">
        <f t="shared" si="8"/>
        <v>11140.669999999984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44411.8</v>
      </c>
      <c r="F27" s="203">
        <v>42026.63</v>
      </c>
      <c r="G27" s="241">
        <f t="shared" si="0"/>
        <v>-2385.1700000000055</v>
      </c>
      <c r="H27" s="242">
        <f t="shared" si="3"/>
        <v>94.62942281105471</v>
      </c>
      <c r="I27" s="243">
        <f t="shared" si="4"/>
        <v>-5340.370000000003</v>
      </c>
      <c r="J27" s="243">
        <f t="shared" si="5"/>
        <v>88.72554732197521</v>
      </c>
      <c r="K27" s="243">
        <v>25267.13</v>
      </c>
      <c r="L27" s="243">
        <f t="shared" si="1"/>
        <v>16759.499999999996</v>
      </c>
      <c r="M27" s="413">
        <f t="shared" si="2"/>
        <v>1.6632925860594374</v>
      </c>
      <c r="N27" s="242">
        <f>E27-жовтень!E27</f>
        <v>4010</v>
      </c>
      <c r="O27" s="242">
        <f>F27-жовтень!F27</f>
        <v>20.349999999998545</v>
      </c>
      <c r="P27" s="243">
        <f t="shared" si="6"/>
        <v>-3989.6500000000015</v>
      </c>
      <c r="Q27" s="243">
        <f>O27/N27*100</f>
        <v>0.5074812967580684</v>
      </c>
      <c r="R27" s="113"/>
      <c r="S27" s="114"/>
      <c r="T27" s="186">
        <f t="shared" si="8"/>
        <v>2955.199999999997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99847.17</v>
      </c>
      <c r="F28" s="203">
        <v>90707.49</v>
      </c>
      <c r="G28" s="241">
        <f t="shared" si="0"/>
        <v>-9139.679999999993</v>
      </c>
      <c r="H28" s="242">
        <f t="shared" si="3"/>
        <v>90.8463304468219</v>
      </c>
      <c r="I28" s="243">
        <f t="shared" si="4"/>
        <v>-17325.15999999999</v>
      </c>
      <c r="J28" s="243">
        <f t="shared" si="5"/>
        <v>83.96303339777373</v>
      </c>
      <c r="K28" s="243">
        <v>68120.32</v>
      </c>
      <c r="L28" s="243">
        <f t="shared" si="1"/>
        <v>22587.17</v>
      </c>
      <c r="M28" s="413">
        <f t="shared" si="2"/>
        <v>1.331577567457111</v>
      </c>
      <c r="N28" s="242">
        <f>E28-жовтень!E28</f>
        <v>9110</v>
      </c>
      <c r="O28" s="242">
        <f>F28-жовтень!F28</f>
        <v>89.13000000000466</v>
      </c>
      <c r="P28" s="243">
        <f t="shared" si="6"/>
        <v>-9020.869999999995</v>
      </c>
      <c r="Q28" s="243">
        <f>O28/N28*100</f>
        <v>0.9783754116356165</v>
      </c>
      <c r="R28" s="113"/>
      <c r="S28" s="114"/>
      <c r="T28" s="186">
        <f t="shared" si="8"/>
        <v>8185.479999999996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E29-жовтень!E29</f>
        <v>0</v>
      </c>
      <c r="O29" s="200">
        <f>F29-жовтень!F29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70.81</v>
      </c>
      <c r="F30" s="196">
        <v>96.18</v>
      </c>
      <c r="G30" s="190">
        <f t="shared" si="0"/>
        <v>25.370000000000005</v>
      </c>
      <c r="H30" s="197">
        <f t="shared" si="3"/>
        <v>135.82827284281882</v>
      </c>
      <c r="I30" s="198">
        <f t="shared" si="4"/>
        <v>19.180000000000007</v>
      </c>
      <c r="J30" s="198">
        <f t="shared" si="5"/>
        <v>124.90909090909092</v>
      </c>
      <c r="K30" s="198">
        <v>74.09</v>
      </c>
      <c r="L30" s="198">
        <f t="shared" si="1"/>
        <v>22.090000000000003</v>
      </c>
      <c r="M30" s="255">
        <f>F30/K30</f>
        <v>1.2981508975570253</v>
      </c>
      <c r="N30" s="197">
        <f>E30-жовтень!E30</f>
        <v>8</v>
      </c>
      <c r="O30" s="200">
        <f>F30-жовтень!F30</f>
        <v>0</v>
      </c>
      <c r="P30" s="201">
        <f t="shared" si="6"/>
        <v>-8</v>
      </c>
      <c r="Q30" s="198">
        <f>O30/N30*100</f>
        <v>0</v>
      </c>
      <c r="R30" s="113"/>
      <c r="S30" s="114"/>
      <c r="T30" s="186">
        <f t="shared" si="8"/>
        <v>6.189999999999998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-173.07</v>
      </c>
      <c r="G31" s="190">
        <f t="shared" si="0"/>
        <v>-173.07</v>
      </c>
      <c r="H31" s="197"/>
      <c r="I31" s="198">
        <f t="shared" si="4"/>
        <v>-173.07</v>
      </c>
      <c r="J31" s="198"/>
      <c r="K31" s="198">
        <v>-772.87</v>
      </c>
      <c r="L31" s="198">
        <f t="shared" si="1"/>
        <v>599.8</v>
      </c>
      <c r="M31" s="255">
        <f>F31/K31</f>
        <v>0.22393157969645605</v>
      </c>
      <c r="N31" s="197">
        <f>E31-жовтень!E31</f>
        <v>0</v>
      </c>
      <c r="O31" s="200">
        <f>F31-жовтень!F31</f>
        <v>0</v>
      </c>
      <c r="P31" s="201">
        <f t="shared" si="6"/>
        <v>0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137665.75</v>
      </c>
      <c r="F32" s="203">
        <v>129065.26</v>
      </c>
      <c r="G32" s="202">
        <f t="shared" si="0"/>
        <v>-8600.490000000005</v>
      </c>
      <c r="H32" s="204">
        <f t="shared" si="3"/>
        <v>93.75262910346255</v>
      </c>
      <c r="I32" s="205">
        <f t="shared" si="4"/>
        <v>-11934.740000000005</v>
      </c>
      <c r="J32" s="205">
        <f t="shared" si="5"/>
        <v>91.53564539007093</v>
      </c>
      <c r="K32" s="219">
        <v>98660.28</v>
      </c>
      <c r="L32" s="219">
        <f>F32-K32</f>
        <v>30404.979999999996</v>
      </c>
      <c r="M32" s="411">
        <f>F32/K32</f>
        <v>1.3081785293939971</v>
      </c>
      <c r="N32" s="197">
        <f>E32-жовтень!E32</f>
        <v>12065.910000000003</v>
      </c>
      <c r="O32" s="200">
        <f>F32-жовтень!F32</f>
        <v>432.0899999999965</v>
      </c>
      <c r="P32" s="207">
        <f t="shared" si="6"/>
        <v>-11633.820000000007</v>
      </c>
      <c r="Q32" s="205">
        <f>O32/N32*100</f>
        <v>3.5810809130848513</v>
      </c>
      <c r="R32" s="113"/>
      <c r="S32" s="114"/>
      <c r="T32" s="186">
        <f t="shared" si="8"/>
        <v>3334.25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-1.15</v>
      </c>
      <c r="L33" s="142">
        <f t="shared" si="1"/>
        <v>1.38</v>
      </c>
      <c r="M33" s="264">
        <f aca="true" t="shared" si="10" ref="M33:M39">F33/K33</f>
        <v>-0.2</v>
      </c>
      <c r="N33" s="111">
        <f>E33-жовтень!E33</f>
        <v>0</v>
      </c>
      <c r="O33" s="179">
        <f>F33-жовтень!F33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33262.97</v>
      </c>
      <c r="F34" s="171">
        <v>31777.9</v>
      </c>
      <c r="G34" s="109">
        <f t="shared" si="0"/>
        <v>-1485.0699999999997</v>
      </c>
      <c r="H34" s="111">
        <f t="shared" si="3"/>
        <v>95.5353656032519</v>
      </c>
      <c r="I34" s="110">
        <f t="shared" si="4"/>
        <v>-2439.0999999999985</v>
      </c>
      <c r="J34" s="110">
        <f t="shared" si="5"/>
        <v>92.87167197591842</v>
      </c>
      <c r="K34" s="142">
        <v>23706.55</v>
      </c>
      <c r="L34" s="142">
        <f t="shared" si="1"/>
        <v>8071.350000000002</v>
      </c>
      <c r="M34" s="264">
        <f t="shared" si="10"/>
        <v>1.3404691952224175</v>
      </c>
      <c r="N34" s="111">
        <f>E34-жовтень!E34</f>
        <v>2600</v>
      </c>
      <c r="O34" s="179">
        <f>F34-жовтень!F34</f>
        <v>201.86000000000058</v>
      </c>
      <c r="P34" s="112">
        <f t="shared" si="6"/>
        <v>-2398.1399999999994</v>
      </c>
      <c r="Q34" s="110">
        <f>O34/N34*100</f>
        <v>7.763846153846177</v>
      </c>
      <c r="R34" s="113"/>
      <c r="S34" s="114"/>
      <c r="T34" s="186">
        <f t="shared" si="8"/>
        <v>954.0299999999988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104351.78</v>
      </c>
      <c r="F35" s="171">
        <v>97234.05</v>
      </c>
      <c r="G35" s="109">
        <f t="shared" si="0"/>
        <v>-7117.729999999996</v>
      </c>
      <c r="H35" s="111">
        <f t="shared" si="3"/>
        <v>93.17910053858209</v>
      </c>
      <c r="I35" s="110">
        <f t="shared" si="4"/>
        <v>-9497.949999999997</v>
      </c>
      <c r="J35" s="110">
        <f t="shared" si="5"/>
        <v>91.10112243750703</v>
      </c>
      <c r="K35" s="142">
        <v>74922.37</v>
      </c>
      <c r="L35" s="142">
        <f t="shared" si="1"/>
        <v>22311.680000000008</v>
      </c>
      <c r="M35" s="264">
        <f t="shared" si="10"/>
        <v>1.2977973067322885</v>
      </c>
      <c r="N35" s="111">
        <f>E35-жовтень!E35</f>
        <v>9431.699999999997</v>
      </c>
      <c r="O35" s="179">
        <f>F35-жовтень!F35</f>
        <v>230.22999999999593</v>
      </c>
      <c r="P35" s="112">
        <f t="shared" si="6"/>
        <v>-9201.470000000001</v>
      </c>
      <c r="Q35" s="110">
        <f>O35/N35*100</f>
        <v>2.4410233574010625</v>
      </c>
      <c r="R35" s="113"/>
      <c r="S35" s="114"/>
      <c r="T35" s="186">
        <f t="shared" si="8"/>
        <v>2380.220000000001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51</v>
      </c>
      <c r="F36" s="171">
        <v>53.08</v>
      </c>
      <c r="G36" s="109">
        <f t="shared" si="0"/>
        <v>2.0799999999999983</v>
      </c>
      <c r="H36" s="111">
        <f t="shared" si="3"/>
        <v>104.07843137254902</v>
      </c>
      <c r="I36" s="110">
        <f t="shared" si="4"/>
        <v>2.0799999999999983</v>
      </c>
      <c r="J36" s="110">
        <f t="shared" si="5"/>
        <v>104.07843137254902</v>
      </c>
      <c r="K36" s="142">
        <v>32.51</v>
      </c>
      <c r="L36" s="142">
        <f t="shared" si="1"/>
        <v>20.57</v>
      </c>
      <c r="M36" s="264">
        <f t="shared" si="10"/>
        <v>1.6327283912642265</v>
      </c>
      <c r="N36" s="111">
        <f>E36-жовтень!E36</f>
        <v>34.21</v>
      </c>
      <c r="O36" s="179">
        <f>F36-жовтень!F36</f>
        <v>0</v>
      </c>
      <c r="P36" s="112">
        <f t="shared" si="6"/>
        <v>-34.21</v>
      </c>
      <c r="Q36" s="110"/>
      <c r="R36" s="113"/>
      <c r="S36" s="114"/>
      <c r="T36" s="186">
        <f t="shared" si="8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6764.35</v>
      </c>
      <c r="L37" s="132">
        <f t="shared" si="1"/>
        <v>-6764.35</v>
      </c>
      <c r="M37" s="265">
        <f t="shared" si="10"/>
        <v>0</v>
      </c>
      <c r="N37" s="152">
        <f>E37-жовтень!E37</f>
        <v>0</v>
      </c>
      <c r="O37" s="180">
        <f>F37-жовтень!F37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59184.03</v>
      </c>
      <c r="F38" s="191">
        <f>F39+F40+F41+F42+F43+F45+F47+F48+F49+F50+F51+F56+F57+F61+F44</f>
        <v>58479.969999999994</v>
      </c>
      <c r="G38" s="191">
        <f>G39+G40+G41+G42+G43+G45+G47+G48+G49+G50+G51+G56+G57+G61</f>
        <v>-738.0099999999982</v>
      </c>
      <c r="H38" s="192">
        <f>F38/E38*100</f>
        <v>98.81038854569381</v>
      </c>
      <c r="I38" s="193">
        <f>F38-D38</f>
        <v>-3362.5100000000093</v>
      </c>
      <c r="J38" s="193">
        <f>F38/D38*100</f>
        <v>94.56278273445695</v>
      </c>
      <c r="K38" s="191">
        <v>41741.88</v>
      </c>
      <c r="L38" s="191">
        <f t="shared" si="1"/>
        <v>16738.089999999997</v>
      </c>
      <c r="M38" s="250">
        <f t="shared" si="10"/>
        <v>1.400990324345717</v>
      </c>
      <c r="N38" s="191">
        <f>N39+N40+N41+N42+N43+N45+N47+N48+N49+N50+N51+N56+N57+N61+N44</f>
        <v>3889</v>
      </c>
      <c r="O38" s="191">
        <f>O39+O40+O41+O42+O43+O45+O47+O48+O49+O50+O51+O56+O57+O61+O44</f>
        <v>3462.240000000003</v>
      </c>
      <c r="P38" s="191">
        <f>P39+P40+P41+P42+P43+P45+P47+P48+P49+P50+P51+P56+P57+P61</f>
        <v>-426.75999999999715</v>
      </c>
      <c r="Q38" s="191">
        <f>O38/N38*100</f>
        <v>89.02648495757272</v>
      </c>
      <c r="R38" s="15" t="e">
        <f>#N/A</f>
        <v>#N/A</v>
      </c>
      <c r="S38" s="15" t="e">
        <f>#N/A</f>
        <v>#N/A</v>
      </c>
      <c r="T38" s="186">
        <f t="shared" si="8"/>
        <v>2658.4500000000044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398</v>
      </c>
      <c r="F39" s="196">
        <v>484.83</v>
      </c>
      <c r="G39" s="202">
        <f>F39-E39</f>
        <v>86.82999999999998</v>
      </c>
      <c r="H39" s="204">
        <f aca="true" t="shared" si="11" ref="H39:H62">F39/E39*100</f>
        <v>121.81658291457286</v>
      </c>
      <c r="I39" s="205">
        <f>F39-D39</f>
        <v>84.82999999999998</v>
      </c>
      <c r="J39" s="205">
        <f>F39/D39*100</f>
        <v>121.2075</v>
      </c>
      <c r="K39" s="205">
        <v>0.21</v>
      </c>
      <c r="L39" s="205">
        <f t="shared" si="1"/>
        <v>484.62</v>
      </c>
      <c r="M39" s="266">
        <f t="shared" si="10"/>
        <v>2308.714285714286</v>
      </c>
      <c r="N39" s="204">
        <f>E39-жовтень!E39</f>
        <v>12</v>
      </c>
      <c r="O39" s="208">
        <f>F39-жовтень!F39</f>
        <v>0</v>
      </c>
      <c r="P39" s="207">
        <f>O39-N39</f>
        <v>-12</v>
      </c>
      <c r="Q39" s="205">
        <f aca="true" t="shared" si="12" ref="Q39:Q62">O39/N39*100</f>
        <v>0</v>
      </c>
      <c r="R39" s="42"/>
      <c r="S39" s="100"/>
      <c r="T39" s="186">
        <f t="shared" si="8"/>
        <v>2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29466</v>
      </c>
      <c r="F40" s="196">
        <v>31079.13</v>
      </c>
      <c r="G40" s="202">
        <f aca="true" t="shared" si="13" ref="G40:G63">F40-E40</f>
        <v>1613.130000000001</v>
      </c>
      <c r="H40" s="204">
        <f t="shared" si="11"/>
        <v>105.47454693545104</v>
      </c>
      <c r="I40" s="205">
        <f aca="true" t="shared" si="14" ref="I40:I63">F40-D40</f>
        <v>1072.130000000001</v>
      </c>
      <c r="J40" s="205">
        <f>F40/D40*100</f>
        <v>103.57293298230412</v>
      </c>
      <c r="K40" s="205">
        <v>12874.31</v>
      </c>
      <c r="L40" s="205">
        <f t="shared" si="1"/>
        <v>18204.82</v>
      </c>
      <c r="M40" s="266"/>
      <c r="N40" s="204">
        <f>E40-жовтень!E40</f>
        <v>1700</v>
      </c>
      <c r="O40" s="208">
        <f>F40-жовтень!F40</f>
        <v>3409.010000000002</v>
      </c>
      <c r="P40" s="207">
        <f aca="true" t="shared" si="15" ref="P40:P63">O40-N40</f>
        <v>1709.010000000002</v>
      </c>
      <c r="Q40" s="205">
        <f t="shared" si="12"/>
        <v>200.53000000000014</v>
      </c>
      <c r="R40" s="42"/>
      <c r="S40" s="100"/>
      <c r="T40" s="186">
        <f t="shared" si="8"/>
        <v>541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379.93</v>
      </c>
      <c r="L41" s="205">
        <f t="shared" si="1"/>
        <v>-347.95</v>
      </c>
      <c r="M41" s="266">
        <f aca="true" t="shared" si="17" ref="M41:M63">F41/K41</f>
        <v>0.0841734003632248</v>
      </c>
      <c r="N41" s="204">
        <f>E41-жовтень!E41</f>
        <v>0</v>
      </c>
      <c r="O41" s="208">
        <f>F41-жовтень!F41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1.02</v>
      </c>
      <c r="L42" s="205">
        <f t="shared" si="1"/>
        <v>-0.92</v>
      </c>
      <c r="M42" s="266">
        <f t="shared" si="17"/>
        <v>0.09803921568627451</v>
      </c>
      <c r="N42" s="204">
        <f>E42-жовтень!E42</f>
        <v>0</v>
      </c>
      <c r="O42" s="208">
        <f>F42-жовтень!F42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110</v>
      </c>
      <c r="F43" s="196">
        <v>207.68</v>
      </c>
      <c r="G43" s="202">
        <f t="shared" si="13"/>
        <v>97.68</v>
      </c>
      <c r="H43" s="204">
        <f t="shared" si="11"/>
        <v>188.8</v>
      </c>
      <c r="I43" s="205">
        <f t="shared" si="14"/>
        <v>57.68000000000001</v>
      </c>
      <c r="J43" s="205">
        <f t="shared" si="16"/>
        <v>138.45333333333335</v>
      </c>
      <c r="K43" s="205">
        <v>267.84</v>
      </c>
      <c r="L43" s="205">
        <f t="shared" si="1"/>
        <v>-60.15999999999997</v>
      </c>
      <c r="M43" s="266">
        <f t="shared" si="17"/>
        <v>0.7753882915173239</v>
      </c>
      <c r="N43" s="204">
        <f>E43-жовтень!E43</f>
        <v>10</v>
      </c>
      <c r="O43" s="208">
        <f>F43-жовтень!F43</f>
        <v>0</v>
      </c>
      <c r="P43" s="207">
        <f t="shared" si="15"/>
        <v>-10</v>
      </c>
      <c r="Q43" s="205">
        <f t="shared" si="12"/>
        <v>0</v>
      </c>
      <c r="R43" s="42"/>
      <c r="S43" s="100"/>
      <c r="T43" s="186">
        <f t="shared" si="8"/>
        <v>40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47.95</v>
      </c>
      <c r="G44" s="202">
        <f t="shared" si="13"/>
        <v>33.95</v>
      </c>
      <c r="H44" s="204"/>
      <c r="I44" s="205">
        <f t="shared" si="14"/>
        <v>33.95</v>
      </c>
      <c r="J44" s="205"/>
      <c r="K44" s="205">
        <v>0</v>
      </c>
      <c r="L44" s="205">
        <f t="shared" si="1"/>
        <v>47.95</v>
      </c>
      <c r="M44" s="266"/>
      <c r="N44" s="204">
        <f>E44-жовтень!E44</f>
        <v>0</v>
      </c>
      <c r="O44" s="208">
        <f>F44-жовтень!F44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290</v>
      </c>
      <c r="F45" s="196">
        <v>537.03</v>
      </c>
      <c r="G45" s="202">
        <f t="shared" si="13"/>
        <v>247.02999999999997</v>
      </c>
      <c r="H45" s="204">
        <f t="shared" si="11"/>
        <v>185.18275862068964</v>
      </c>
      <c r="I45" s="205">
        <f t="shared" si="14"/>
        <v>237.02999999999997</v>
      </c>
      <c r="J45" s="205">
        <f t="shared" si="16"/>
        <v>179.01</v>
      </c>
      <c r="K45" s="205">
        <v>0</v>
      </c>
      <c r="L45" s="205">
        <f t="shared" si="1"/>
        <v>537.03</v>
      </c>
      <c r="M45" s="266"/>
      <c r="N45" s="204">
        <f>E45-жовтень!E45</f>
        <v>18</v>
      </c>
      <c r="O45" s="208">
        <f>F45-жовтень!F45</f>
        <v>6.009999999999991</v>
      </c>
      <c r="P45" s="207">
        <f t="shared" si="15"/>
        <v>-11.990000000000009</v>
      </c>
      <c r="Q45" s="205">
        <f t="shared" si="12"/>
        <v>33.38888888888884</v>
      </c>
      <c r="R45" s="42"/>
      <c r="S45" s="100"/>
      <c r="T45" s="186">
        <f t="shared" si="8"/>
        <v>10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E46-жовтень!E46</f>
        <v>0</v>
      </c>
      <c r="O46" s="208">
        <f>F46-жовтень!F46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9549.02</v>
      </c>
      <c r="F47" s="196">
        <v>8901.93</v>
      </c>
      <c r="G47" s="202">
        <f t="shared" si="13"/>
        <v>-647.0900000000001</v>
      </c>
      <c r="H47" s="204">
        <f t="shared" si="11"/>
        <v>93.22349309143766</v>
      </c>
      <c r="I47" s="205">
        <f t="shared" si="14"/>
        <v>-998.0699999999997</v>
      </c>
      <c r="J47" s="205">
        <f t="shared" si="16"/>
        <v>89.91848484848485</v>
      </c>
      <c r="K47" s="205">
        <v>8884.54</v>
      </c>
      <c r="L47" s="205">
        <f t="shared" si="1"/>
        <v>17.389999999999418</v>
      </c>
      <c r="M47" s="266">
        <f t="shared" si="17"/>
        <v>1.0019573326249867</v>
      </c>
      <c r="N47" s="204">
        <f>E47-жовтень!E47</f>
        <v>800</v>
      </c>
      <c r="O47" s="208">
        <f>F47-жовтень!F47</f>
        <v>25.69000000000051</v>
      </c>
      <c r="P47" s="207">
        <f t="shared" si="15"/>
        <v>-774.3099999999995</v>
      </c>
      <c r="Q47" s="205">
        <f t="shared" si="12"/>
        <v>3.211250000000063</v>
      </c>
      <c r="R47" s="42"/>
      <c r="S47" s="100"/>
      <c r="T47" s="186">
        <f t="shared" si="8"/>
        <v>350.97999999999956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247.92</v>
      </c>
      <c r="G48" s="202">
        <f t="shared" si="13"/>
        <v>-402.08000000000004</v>
      </c>
      <c r="H48" s="204">
        <f t="shared" si="11"/>
        <v>38.14153846153846</v>
      </c>
      <c r="I48" s="205">
        <f t="shared" si="14"/>
        <v>-402.08000000000004</v>
      </c>
      <c r="J48" s="205">
        <f t="shared" si="16"/>
        <v>38.14153846153846</v>
      </c>
      <c r="K48" s="205">
        <v>0</v>
      </c>
      <c r="L48" s="205">
        <f t="shared" si="1"/>
        <v>247.92</v>
      </c>
      <c r="M48" s="266"/>
      <c r="N48" s="204">
        <f>E48-жовтень!E48</f>
        <v>0</v>
      </c>
      <c r="O48" s="208">
        <f>F48-жовтень!F48</f>
        <v>1.3899999999999864</v>
      </c>
      <c r="P48" s="207">
        <f t="shared" si="15"/>
        <v>1.3899999999999864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40</v>
      </c>
      <c r="F49" s="196">
        <v>16.96</v>
      </c>
      <c r="G49" s="202">
        <f t="shared" si="13"/>
        <v>-23.04</v>
      </c>
      <c r="H49" s="204">
        <f t="shared" si="11"/>
        <v>42.400000000000006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E49-жовтень!E49</f>
        <v>4</v>
      </c>
      <c r="O49" s="208">
        <f>F49-жовтень!F49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10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7216.23</v>
      </c>
      <c r="F50" s="196">
        <v>6193.94</v>
      </c>
      <c r="G50" s="202">
        <f t="shared" si="13"/>
        <v>-1022.29</v>
      </c>
      <c r="H50" s="204">
        <f t="shared" si="11"/>
        <v>85.83346151660909</v>
      </c>
      <c r="I50" s="205">
        <f t="shared" si="14"/>
        <v>-1806.0600000000004</v>
      </c>
      <c r="J50" s="205">
        <f t="shared" si="16"/>
        <v>77.42425</v>
      </c>
      <c r="K50" s="205">
        <v>8180.78</v>
      </c>
      <c r="L50" s="205">
        <f t="shared" si="1"/>
        <v>-1986.8400000000001</v>
      </c>
      <c r="M50" s="266">
        <f t="shared" si="17"/>
        <v>0.7571331828994301</v>
      </c>
      <c r="N50" s="204">
        <f>E50-жовтень!E50</f>
        <v>650</v>
      </c>
      <c r="O50" s="208">
        <f>F50-жовтень!F50</f>
        <v>0</v>
      </c>
      <c r="P50" s="207">
        <f t="shared" si="15"/>
        <v>-650</v>
      </c>
      <c r="Q50" s="205">
        <f t="shared" si="12"/>
        <v>0</v>
      </c>
      <c r="R50" s="42"/>
      <c r="S50" s="100"/>
      <c r="T50" s="186">
        <f t="shared" si="8"/>
        <v>783.7700000000004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6101.19</v>
      </c>
      <c r="F51" s="196">
        <v>5011.32</v>
      </c>
      <c r="G51" s="202">
        <f t="shared" si="13"/>
        <v>-1089.87</v>
      </c>
      <c r="H51" s="204">
        <f t="shared" si="11"/>
        <v>82.13676348384496</v>
      </c>
      <c r="I51" s="205">
        <f t="shared" si="14"/>
        <v>-1988.7200000000003</v>
      </c>
      <c r="J51" s="205">
        <f t="shared" si="16"/>
        <v>71.5898766292764</v>
      </c>
      <c r="K51" s="205">
        <v>6761.32</v>
      </c>
      <c r="L51" s="205">
        <f t="shared" si="1"/>
        <v>-1750</v>
      </c>
      <c r="M51" s="266">
        <f t="shared" si="17"/>
        <v>0.7411748001869457</v>
      </c>
      <c r="N51" s="204">
        <f>E51-жовтень!E51</f>
        <v>635</v>
      </c>
      <c r="O51" s="208">
        <f>F51-жовтень!F51</f>
        <v>0.7899999999999636</v>
      </c>
      <c r="P51" s="207">
        <f t="shared" si="15"/>
        <v>-634.21</v>
      </c>
      <c r="Q51" s="205">
        <f t="shared" si="12"/>
        <v>0.1244094488188919</v>
      </c>
      <c r="R51" s="42"/>
      <c r="S51" s="100"/>
      <c r="T51" s="186">
        <f t="shared" si="8"/>
        <v>898.8500000000004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873.99</v>
      </c>
      <c r="F52" s="171">
        <v>702.82</v>
      </c>
      <c r="G52" s="36">
        <f t="shared" si="13"/>
        <v>-171.16999999999996</v>
      </c>
      <c r="H52" s="32">
        <f t="shared" si="11"/>
        <v>80.41510772434468</v>
      </c>
      <c r="I52" s="110">
        <f t="shared" si="14"/>
        <v>-267.17999999999995</v>
      </c>
      <c r="J52" s="110">
        <f t="shared" si="16"/>
        <v>72.45567010309279</v>
      </c>
      <c r="K52" s="110">
        <v>1017.62</v>
      </c>
      <c r="L52" s="110">
        <f>F52-K52</f>
        <v>-314.79999999999995</v>
      </c>
      <c r="M52" s="115">
        <f t="shared" si="17"/>
        <v>0.6906507340657614</v>
      </c>
      <c r="N52" s="111">
        <f>E52-жовтень!E52</f>
        <v>135</v>
      </c>
      <c r="O52" s="179">
        <f>F52-жовтень!F52</f>
        <v>0.5200000000000955</v>
      </c>
      <c r="P52" s="112">
        <f t="shared" si="15"/>
        <v>-134.4799999999999</v>
      </c>
      <c r="Q52" s="132">
        <f t="shared" si="12"/>
        <v>0.3851851851852559</v>
      </c>
      <c r="R52" s="42"/>
      <c r="S52" s="100"/>
      <c r="T52" s="186">
        <f t="shared" si="8"/>
        <v>96.00999999999999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44.15</v>
      </c>
      <c r="L53" s="110">
        <f>F53-K53</f>
        <v>-43.86</v>
      </c>
      <c r="M53" s="115">
        <f t="shared" si="17"/>
        <v>0.006568516421291053</v>
      </c>
      <c r="N53" s="111">
        <f>E53-жовтень!E53</f>
        <v>0</v>
      </c>
      <c r="O53" s="179">
        <f>F53-жовтень!F53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E54-жовтень!E54</f>
        <v>0</v>
      </c>
      <c r="O54" s="179">
        <f>F54-жовтень!F54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5222.17</v>
      </c>
      <c r="F55" s="171">
        <v>4308.19</v>
      </c>
      <c r="G55" s="36">
        <f t="shared" si="13"/>
        <v>-913.9800000000005</v>
      </c>
      <c r="H55" s="32">
        <f t="shared" si="11"/>
        <v>82.49808029995192</v>
      </c>
      <c r="I55" s="110">
        <f t="shared" si="14"/>
        <v>-1715.8100000000004</v>
      </c>
      <c r="J55" s="110">
        <f t="shared" si="16"/>
        <v>71.51709827357237</v>
      </c>
      <c r="K55" s="110">
        <v>5698.8</v>
      </c>
      <c r="L55" s="110">
        <f>F55-K55</f>
        <v>-1390.6100000000006</v>
      </c>
      <c r="M55" s="115">
        <f t="shared" si="17"/>
        <v>0.7559819611146206</v>
      </c>
      <c r="N55" s="111">
        <f>E55-жовтень!E55</f>
        <v>500</v>
      </c>
      <c r="O55" s="179">
        <f>F55-жовтень!F55</f>
        <v>0.26999999999952706</v>
      </c>
      <c r="P55" s="112">
        <f t="shared" si="15"/>
        <v>-499.7300000000005</v>
      </c>
      <c r="Q55" s="132">
        <f t="shared" si="12"/>
        <v>0.053999999999905415</v>
      </c>
      <c r="R55" s="42"/>
      <c r="S55" s="100"/>
      <c r="T55" s="186">
        <f t="shared" si="8"/>
        <v>801.8299999999999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E56-жовтень!E56</f>
        <v>0</v>
      </c>
      <c r="O56" s="208">
        <f>F56-жовтень!F56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5137.98</v>
      </c>
      <c r="F57" s="196">
        <v>5557.81</v>
      </c>
      <c r="G57" s="202">
        <f t="shared" si="13"/>
        <v>419.83000000000084</v>
      </c>
      <c r="H57" s="204">
        <f t="shared" si="11"/>
        <v>108.17111004713918</v>
      </c>
      <c r="I57" s="205">
        <f t="shared" si="14"/>
        <v>407.8100000000004</v>
      </c>
      <c r="J57" s="205">
        <f t="shared" si="16"/>
        <v>107.91864077669904</v>
      </c>
      <c r="K57" s="205">
        <v>4367.82</v>
      </c>
      <c r="L57" s="205">
        <f aca="true" t="shared" si="18" ref="L57:L63">F57-K57</f>
        <v>1189.9900000000007</v>
      </c>
      <c r="M57" s="266">
        <f t="shared" si="17"/>
        <v>1.2724448351809372</v>
      </c>
      <c r="N57" s="204">
        <f>E57-жовтень!E57</f>
        <v>60</v>
      </c>
      <c r="O57" s="208">
        <f>F57-жовтень!F57</f>
        <v>19.350000000000364</v>
      </c>
      <c r="P57" s="207">
        <f t="shared" si="15"/>
        <v>-40.649999999999636</v>
      </c>
      <c r="Q57" s="205">
        <f t="shared" si="12"/>
        <v>32.250000000000604</v>
      </c>
      <c r="R57" s="42"/>
      <c r="S57" s="100"/>
      <c r="T57" s="186">
        <f t="shared" si="8"/>
        <v>12.020000000000437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E58-жовтень!E58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1139.3</v>
      </c>
      <c r="G59" s="202"/>
      <c r="H59" s="204"/>
      <c r="I59" s="205"/>
      <c r="J59" s="205"/>
      <c r="K59" s="206">
        <v>1141.97</v>
      </c>
      <c r="L59" s="205">
        <f t="shared" si="18"/>
        <v>-2.6700000000000728</v>
      </c>
      <c r="M59" s="266">
        <f t="shared" si="17"/>
        <v>0.9976619350771035</v>
      </c>
      <c r="N59" s="204"/>
      <c r="O59" s="220">
        <f>F59-жовтень!F59</f>
        <v>2.4300000000000637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E61-жовтень!E61</f>
        <v>0</v>
      </c>
      <c r="O61" s="208">
        <f>F61-жовтень!F61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23.7</v>
      </c>
      <c r="F62" s="196">
        <v>13.52</v>
      </c>
      <c r="G62" s="202">
        <f t="shared" si="13"/>
        <v>-10.18</v>
      </c>
      <c r="H62" s="204">
        <f t="shared" si="11"/>
        <v>57.04641350210971</v>
      </c>
      <c r="I62" s="205">
        <f t="shared" si="14"/>
        <v>-16.48</v>
      </c>
      <c r="J62" s="205">
        <f t="shared" si="16"/>
        <v>45.06666666666666</v>
      </c>
      <c r="K62" s="205">
        <v>28.08</v>
      </c>
      <c r="L62" s="205">
        <f t="shared" si="18"/>
        <v>-14.559999999999999</v>
      </c>
      <c r="M62" s="266">
        <f t="shared" si="17"/>
        <v>0.4814814814814815</v>
      </c>
      <c r="N62" s="204">
        <f>E62-жовтень!E62</f>
        <v>2.3000000000000007</v>
      </c>
      <c r="O62" s="208">
        <f>F62-жовтень!F62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6.300000000000001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0.54</v>
      </c>
      <c r="L63" s="205">
        <f t="shared" si="18"/>
        <v>0.48</v>
      </c>
      <c r="M63" s="266">
        <f t="shared" si="17"/>
        <v>1.8888888888888888</v>
      </c>
      <c r="N63" s="204">
        <f>E63-жовтень!E63</f>
        <v>0</v>
      </c>
      <c r="O63" s="208">
        <f>F63-жовтень!F63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943629.7799999999</v>
      </c>
      <c r="F64" s="191">
        <f>F8+F38+F62+F63</f>
        <v>857355.8099999999</v>
      </c>
      <c r="G64" s="191">
        <f>F64-E64</f>
        <v>-86273.96999999997</v>
      </c>
      <c r="H64" s="192">
        <f>F64/E64*100</f>
        <v>90.85722262813707</v>
      </c>
      <c r="I64" s="193">
        <f>F64-D64</f>
        <v>-161588.92000000016</v>
      </c>
      <c r="J64" s="193">
        <f>F64/D64*100</f>
        <v>84.14154220121436</v>
      </c>
      <c r="K64" s="193">
        <v>650580.27</v>
      </c>
      <c r="L64" s="193">
        <f>F64-K64</f>
        <v>206775.53999999992</v>
      </c>
      <c r="M64" s="267">
        <f>F64/K64</f>
        <v>1.3178324789960199</v>
      </c>
      <c r="N64" s="191">
        <f>N8+N38+N62+N63</f>
        <v>92637.22000000002</v>
      </c>
      <c r="O64" s="191">
        <f>O8+O38+O62+O63</f>
        <v>4704.779999999968</v>
      </c>
      <c r="P64" s="195">
        <f>O64-N64</f>
        <v>-87932.44000000005</v>
      </c>
      <c r="Q64" s="193">
        <f>O64/N64*100</f>
        <v>5.078714581460851</v>
      </c>
      <c r="R64" s="28">
        <f>O64-34768</f>
        <v>-30063.22000000003</v>
      </c>
      <c r="S64" s="128">
        <f>O64/34768</f>
        <v>0.13531925908881637</v>
      </c>
      <c r="T64" s="186">
        <f t="shared" si="8"/>
        <v>75314.95000000019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F69-жовтень!F69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-55.72</v>
      </c>
      <c r="L70" s="207">
        <f>F70-K70</f>
        <v>45.53</v>
      </c>
      <c r="M70" s="254">
        <f>F70/K70</f>
        <v>0.18287867910983488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-51.72</v>
      </c>
      <c r="L71" s="228">
        <f>F71-K71</f>
        <v>41.54</v>
      </c>
      <c r="M71" s="260">
        <f>F71/K71</f>
        <v>0.1968290796597061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4200</v>
      </c>
      <c r="F73" s="222">
        <v>2052.21</v>
      </c>
      <c r="G73" s="202">
        <f aca="true" t="shared" si="19" ref="G73:G83">F73-E73</f>
        <v>-2147.79</v>
      </c>
      <c r="H73" s="204"/>
      <c r="I73" s="207">
        <f aca="true" t="shared" si="20" ref="I73:I83">F73-D73</f>
        <v>-13147.79</v>
      </c>
      <c r="J73" s="207">
        <f>F73/D73*100</f>
        <v>13.501381578947369</v>
      </c>
      <c r="K73" s="207">
        <v>619</v>
      </c>
      <c r="L73" s="207">
        <f aca="true" t="shared" si="21" ref="L73:L83">F73-K73</f>
        <v>1433.21</v>
      </c>
      <c r="M73" s="254">
        <f>F73/K73</f>
        <v>3.3153634894991924</v>
      </c>
      <c r="N73" s="204">
        <f>E73-жовтень!E73</f>
        <v>1500</v>
      </c>
      <c r="O73" s="208">
        <f>F73-жовтень!F73</f>
        <v>0.010000000000218279</v>
      </c>
      <c r="P73" s="207">
        <f aca="true" t="shared" si="22" ref="P73:P86">O73-N73</f>
        <v>-1499.9899999999998</v>
      </c>
      <c r="Q73" s="207">
        <f>O73/N73*100</f>
        <v>0.0006666666666812186</v>
      </c>
      <c r="R73" s="43"/>
      <c r="S73" s="103"/>
      <c r="T73" s="186">
        <f t="shared" si="8"/>
        <v>11000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f>5554.31+4700</f>
        <v>10254.310000000001</v>
      </c>
      <c r="F74" s="222">
        <v>7241.5</v>
      </c>
      <c r="G74" s="202">
        <f t="shared" si="19"/>
        <v>-3012.8100000000013</v>
      </c>
      <c r="H74" s="204">
        <f>F74/E74*100</f>
        <v>70.61908602334042</v>
      </c>
      <c r="I74" s="207">
        <f t="shared" si="20"/>
        <v>-9917.5</v>
      </c>
      <c r="J74" s="207">
        <f>F74/D74*100</f>
        <v>42.20234279386911</v>
      </c>
      <c r="K74" s="207">
        <v>8212.99</v>
      </c>
      <c r="L74" s="207">
        <f t="shared" si="21"/>
        <v>-971.4899999999998</v>
      </c>
      <c r="M74" s="254">
        <f>F74/K74</f>
        <v>0.8817129936843952</v>
      </c>
      <c r="N74" s="204">
        <f>E74-жовтень!E74</f>
        <v>5101.4000000000015</v>
      </c>
      <c r="O74" s="208">
        <f>F74-жовтень!F74</f>
        <v>0</v>
      </c>
      <c r="P74" s="207">
        <f t="shared" si="22"/>
        <v>-5101.4000000000015</v>
      </c>
      <c r="Q74" s="207">
        <f>O74/N74*100</f>
        <v>0</v>
      </c>
      <c r="R74" s="43"/>
      <c r="S74" s="103"/>
      <c r="T74" s="186">
        <f aca="true" t="shared" si="23" ref="T74:T90">D74-E74</f>
        <v>6904.689999999999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f>4500.85+4000</f>
        <v>8500.85</v>
      </c>
      <c r="F75" s="222">
        <v>12246.75</v>
      </c>
      <c r="G75" s="202">
        <f t="shared" si="19"/>
        <v>3745.8999999999996</v>
      </c>
      <c r="H75" s="204">
        <f>F75/E75*100</f>
        <v>144.06500526417946</v>
      </c>
      <c r="I75" s="207">
        <f t="shared" si="20"/>
        <v>-3753.25</v>
      </c>
      <c r="J75" s="207">
        <f>F75/D75*100</f>
        <v>76.5421875</v>
      </c>
      <c r="K75" s="207">
        <v>2292.73</v>
      </c>
      <c r="L75" s="207">
        <f t="shared" si="21"/>
        <v>9954.02</v>
      </c>
      <c r="M75" s="254">
        <f>F75/K75</f>
        <v>5.341557880779682</v>
      </c>
      <c r="N75" s="204">
        <f>E75-жовтень!E75</f>
        <v>5500</v>
      </c>
      <c r="O75" s="208">
        <f>F75-жовтень!F75</f>
        <v>0</v>
      </c>
      <c r="P75" s="207">
        <f t="shared" si="22"/>
        <v>-5500</v>
      </c>
      <c r="Q75" s="207">
        <f>O75/N75*100</f>
        <v>0</v>
      </c>
      <c r="R75" s="43"/>
      <c r="S75" s="103"/>
      <c r="T75" s="186">
        <f t="shared" si="23"/>
        <v>7499.15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11</v>
      </c>
      <c r="F76" s="222">
        <v>11</v>
      </c>
      <c r="G76" s="202">
        <f t="shared" si="19"/>
        <v>0</v>
      </c>
      <c r="H76" s="204">
        <f>F76/E76*100</f>
        <v>100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E76-жовтень!E76</f>
        <v>1</v>
      </c>
      <c r="O76" s="208">
        <f>F76-жовтень!F76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1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22966.160000000003</v>
      </c>
      <c r="F77" s="225">
        <f>F73+F74+F75+F76</f>
        <v>21551.46</v>
      </c>
      <c r="G77" s="226">
        <f t="shared" si="19"/>
        <v>-1414.7000000000044</v>
      </c>
      <c r="H77" s="227">
        <f>F77/E77*100</f>
        <v>93.84006729901732</v>
      </c>
      <c r="I77" s="228">
        <f t="shared" si="20"/>
        <v>-26819.54</v>
      </c>
      <c r="J77" s="228">
        <f>F77/D77*100</f>
        <v>44.55450579892911</v>
      </c>
      <c r="K77" s="228">
        <v>11124.73</v>
      </c>
      <c r="L77" s="228">
        <f t="shared" si="21"/>
        <v>10426.73</v>
      </c>
      <c r="M77" s="260">
        <f>F77/K77</f>
        <v>1.9372569042125067</v>
      </c>
      <c r="N77" s="226">
        <f>N73+N74+N75+N76</f>
        <v>12102.400000000001</v>
      </c>
      <c r="O77" s="230">
        <f>O73+O74+O75+O76</f>
        <v>0.010000000000218279</v>
      </c>
      <c r="P77" s="228">
        <f t="shared" si="22"/>
        <v>-12102.390000000001</v>
      </c>
      <c r="Q77" s="228">
        <f>O77/N77*100</f>
        <v>8.262823902877344E-05</v>
      </c>
      <c r="R77" s="44"/>
      <c r="S77" s="129"/>
      <c r="T77" s="186">
        <f t="shared" si="23"/>
        <v>25404.839999999997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35.95</v>
      </c>
      <c r="G78" s="202">
        <f t="shared" si="19"/>
        <v>35.95</v>
      </c>
      <c r="H78" s="204"/>
      <c r="I78" s="207">
        <f t="shared" si="20"/>
        <v>34.95</v>
      </c>
      <c r="J78" s="207"/>
      <c r="K78" s="207">
        <v>0.35</v>
      </c>
      <c r="L78" s="207">
        <f t="shared" si="21"/>
        <v>35.6</v>
      </c>
      <c r="M78" s="254">
        <f>F78/K78</f>
        <v>102.71428571428572</v>
      </c>
      <c r="N78" s="204">
        <f>E78-жовтень!E78</f>
        <v>0</v>
      </c>
      <c r="O78" s="208">
        <f>F78-жовтень!F78</f>
        <v>0</v>
      </c>
      <c r="P78" s="207">
        <f t="shared" si="22"/>
        <v>0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E79-жовтень!E79</f>
        <v>0</v>
      </c>
      <c r="O79" s="208">
        <f>F79-жовтень!F79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9498.7</v>
      </c>
      <c r="F80" s="222">
        <v>6837.42</v>
      </c>
      <c r="G80" s="202">
        <f t="shared" si="19"/>
        <v>-2661.2800000000007</v>
      </c>
      <c r="H80" s="204">
        <f>F80/E80*100</f>
        <v>71.98269236842935</v>
      </c>
      <c r="I80" s="207">
        <f t="shared" si="20"/>
        <v>-2662.58</v>
      </c>
      <c r="J80" s="207">
        <f>F80/D80*100</f>
        <v>71.97284210526315</v>
      </c>
      <c r="K80" s="207">
        <v>0</v>
      </c>
      <c r="L80" s="207">
        <f t="shared" si="21"/>
        <v>6837.42</v>
      </c>
      <c r="M80" s="254"/>
      <c r="N80" s="204">
        <f>E80-жовтень!E80</f>
        <v>1873.4000000000005</v>
      </c>
      <c r="O80" s="208">
        <f>F80-жовтень!F80</f>
        <v>1.3500000000003638</v>
      </c>
      <c r="P80" s="207">
        <f>O80-N80</f>
        <v>-1872.0500000000002</v>
      </c>
      <c r="Q80" s="231">
        <f>O80/N80*100</f>
        <v>0.07206149247359685</v>
      </c>
      <c r="R80" s="46"/>
      <c r="S80" s="105"/>
      <c r="T80" s="186">
        <f t="shared" si="23"/>
        <v>1.2999999999992724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1.31</v>
      </c>
      <c r="L81" s="207">
        <f t="shared" si="21"/>
        <v>0.030000000000000027</v>
      </c>
      <c r="M81" s="254">
        <f>F81/K81</f>
        <v>1.0229007633587786</v>
      </c>
      <c r="N81" s="204">
        <f>E81-жовтень!E81</f>
        <v>0</v>
      </c>
      <c r="O81" s="208">
        <f>F81-жовтень!F81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9498.7</v>
      </c>
      <c r="F82" s="225">
        <f>F78+F81+F79+F80</f>
        <v>6874.71</v>
      </c>
      <c r="G82" s="224">
        <f>G78+G81+G79+G80</f>
        <v>-2623.9900000000007</v>
      </c>
      <c r="H82" s="227">
        <f>F82/E82*100</f>
        <v>72.37527240569761</v>
      </c>
      <c r="I82" s="228">
        <f t="shared" si="20"/>
        <v>-2626.29</v>
      </c>
      <c r="J82" s="228">
        <f>F82/D82*100</f>
        <v>72.35775181559836</v>
      </c>
      <c r="K82" s="228">
        <v>1.66</v>
      </c>
      <c r="L82" s="228">
        <f t="shared" si="21"/>
        <v>6873.05</v>
      </c>
      <c r="M82" s="268">
        <f>F82/K82</f>
        <v>4141.391566265061</v>
      </c>
      <c r="N82" s="226">
        <f>N78+N81+N79+N80</f>
        <v>1873.4000000000005</v>
      </c>
      <c r="O82" s="230">
        <f>O78+O81+O79+O80</f>
        <v>1.3500000000003638</v>
      </c>
      <c r="P82" s="226">
        <f>P78+P81+P79+P80</f>
        <v>-1872.0500000000002</v>
      </c>
      <c r="Q82" s="228">
        <f>O82/N82*100</f>
        <v>0.07206149247359685</v>
      </c>
      <c r="R82" s="44"/>
      <c r="S82" s="102"/>
      <c r="T82" s="186">
        <f t="shared" si="23"/>
        <v>2.2999999999992724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30.36</v>
      </c>
      <c r="F83" s="222">
        <v>27.47</v>
      </c>
      <c r="G83" s="202">
        <f t="shared" si="19"/>
        <v>-2.8900000000000006</v>
      </c>
      <c r="H83" s="204">
        <f>F83/E83*100</f>
        <v>90.48089591567853</v>
      </c>
      <c r="I83" s="207">
        <f t="shared" si="20"/>
        <v>-15.530000000000001</v>
      </c>
      <c r="J83" s="207">
        <f>F83/D83*100</f>
        <v>63.883720930232556</v>
      </c>
      <c r="K83" s="207">
        <v>30.61</v>
      </c>
      <c r="L83" s="207">
        <f t="shared" si="21"/>
        <v>-3.1400000000000006</v>
      </c>
      <c r="M83" s="254">
        <f>F83/K83</f>
        <v>0.8974191440705651</v>
      </c>
      <c r="N83" s="204">
        <f>E83-жовтень!E83</f>
        <v>0.5899999999999999</v>
      </c>
      <c r="O83" s="208">
        <f>F83-жовтень!F83</f>
        <v>0</v>
      </c>
      <c r="P83" s="207">
        <f t="shared" si="22"/>
        <v>-0.5899999999999999</v>
      </c>
      <c r="Q83" s="207">
        <f>O83/N83</f>
        <v>0</v>
      </c>
      <c r="R83" s="43"/>
      <c r="S83" s="103"/>
      <c r="T83" s="186">
        <f t="shared" si="23"/>
        <v>12.64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32495.220000000005</v>
      </c>
      <c r="F85" s="232">
        <f>F71+F83+F77+F82+F84</f>
        <v>28443.46</v>
      </c>
      <c r="G85" s="233">
        <f>F85-E85</f>
        <v>-4051.7600000000057</v>
      </c>
      <c r="H85" s="234">
        <f>F85/E85*100</f>
        <v>87.53121228291421</v>
      </c>
      <c r="I85" s="235">
        <f>F85-D85</f>
        <v>-29471.54</v>
      </c>
      <c r="J85" s="235">
        <f>F85/D85*100</f>
        <v>49.11242337909004</v>
      </c>
      <c r="K85" s="235">
        <v>11101.47</v>
      </c>
      <c r="L85" s="235">
        <f>F85-K85</f>
        <v>17341.989999999998</v>
      </c>
      <c r="M85" s="269">
        <f>F85/K85</f>
        <v>2.562134564161323</v>
      </c>
      <c r="N85" s="232">
        <f>N71+N83+N77+N82</f>
        <v>13976.390000000003</v>
      </c>
      <c r="O85" s="232">
        <f>O71+O83+O77+O82+O84</f>
        <v>1.360000000000582</v>
      </c>
      <c r="P85" s="235">
        <f t="shared" si="22"/>
        <v>-13975.030000000002</v>
      </c>
      <c r="Q85" s="235">
        <f>O85/N85*100</f>
        <v>0.009730695837770566</v>
      </c>
      <c r="R85" s="28">
        <f>O85-8104.96</f>
        <v>-8103.599999999999</v>
      </c>
      <c r="S85" s="101">
        <f>O85/8104.96</f>
        <v>0.00016779848389141737</v>
      </c>
      <c r="T85" s="186">
        <f t="shared" si="23"/>
        <v>25419.779999999995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976124.9999999999</v>
      </c>
      <c r="F86" s="232">
        <f>F64+F85</f>
        <v>885799.2699999999</v>
      </c>
      <c r="G86" s="233">
        <f>F86-E86</f>
        <v>-90325.72999999998</v>
      </c>
      <c r="H86" s="234">
        <f>F86/E86*100</f>
        <v>90.74649967985657</v>
      </c>
      <c r="I86" s="235">
        <f>F86-D86</f>
        <v>-191060.46000000008</v>
      </c>
      <c r="J86" s="235">
        <f>F86/D86*100</f>
        <v>82.25762792708386</v>
      </c>
      <c r="K86" s="235">
        <f>K64+K85</f>
        <v>661681.74</v>
      </c>
      <c r="L86" s="235">
        <f>F86-K86</f>
        <v>224117.5299999999</v>
      </c>
      <c r="M86" s="269">
        <f>F86/K86</f>
        <v>1.3387089539451398</v>
      </c>
      <c r="N86" s="233">
        <f>N64+N85</f>
        <v>106613.61000000002</v>
      </c>
      <c r="O86" s="233">
        <f>O64+O85</f>
        <v>4706.1399999999685</v>
      </c>
      <c r="P86" s="235">
        <f t="shared" si="22"/>
        <v>-101907.47000000004</v>
      </c>
      <c r="Q86" s="235">
        <f>O86/N86*100</f>
        <v>4.414201901614595</v>
      </c>
      <c r="R86" s="28">
        <f>O86-42872.96</f>
        <v>-38166.82000000003</v>
      </c>
      <c r="S86" s="101">
        <f>O86/42872.96</f>
        <v>0.10976942109898567</v>
      </c>
      <c r="T86" s="186">
        <f t="shared" si="23"/>
        <v>100734.7300000001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21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4187.25904761905</v>
      </c>
      <c r="D89" s="4" t="s">
        <v>24</v>
      </c>
      <c r="G89" s="430"/>
      <c r="H89" s="430"/>
      <c r="I89" s="430"/>
      <c r="J89" s="430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42675</v>
      </c>
      <c r="D90" s="31">
        <v>4704.8</v>
      </c>
      <c r="G90" s="4" t="s">
        <v>59</v>
      </c>
      <c r="O90" s="422"/>
      <c r="P90" s="422"/>
      <c r="T90" s="186">
        <f t="shared" si="23"/>
        <v>4704.8</v>
      </c>
    </row>
    <row r="91" spans="3:16" ht="15">
      <c r="C91" s="87">
        <v>42674</v>
      </c>
      <c r="D91" s="31">
        <v>6669</v>
      </c>
      <c r="F91" s="124" t="s">
        <v>59</v>
      </c>
      <c r="G91" s="416"/>
      <c r="H91" s="416"/>
      <c r="I91" s="131"/>
      <c r="J91" s="419"/>
      <c r="K91" s="419"/>
      <c r="L91" s="419"/>
      <c r="M91" s="419"/>
      <c r="N91" s="419"/>
      <c r="O91" s="422"/>
      <c r="P91" s="422"/>
    </row>
    <row r="92" spans="3:16" ht="15.75" customHeight="1">
      <c r="C92" s="87">
        <v>42671</v>
      </c>
      <c r="D92" s="31">
        <v>15898.1</v>
      </c>
      <c r="F92" s="73"/>
      <c r="G92" s="416"/>
      <c r="H92" s="416"/>
      <c r="I92" s="131"/>
      <c r="J92" s="423"/>
      <c r="K92" s="423"/>
      <c r="L92" s="423"/>
      <c r="M92" s="423"/>
      <c r="N92" s="423"/>
      <c r="O92" s="422"/>
      <c r="P92" s="422"/>
    </row>
    <row r="93" spans="3:14" ht="15.75" customHeight="1">
      <c r="C93" s="87"/>
      <c r="F93" s="73"/>
      <c r="G93" s="418"/>
      <c r="H93" s="418"/>
      <c r="I93" s="139"/>
      <c r="J93" s="419"/>
      <c r="K93" s="419"/>
      <c r="L93" s="419"/>
      <c r="M93" s="419"/>
      <c r="N93" s="419"/>
    </row>
    <row r="94" spans="2:14" ht="18.75" customHeight="1">
      <c r="B94" s="420" t="s">
        <v>57</v>
      </c>
      <c r="C94" s="421"/>
      <c r="D94" s="148">
        <v>6623.20142</v>
      </c>
      <c r="E94" s="74"/>
      <c r="F94" s="140" t="s">
        <v>137</v>
      </c>
      <c r="G94" s="416"/>
      <c r="H94" s="416"/>
      <c r="I94" s="141"/>
      <c r="J94" s="419"/>
      <c r="K94" s="419"/>
      <c r="L94" s="419"/>
      <c r="M94" s="419"/>
      <c r="N94" s="419"/>
    </row>
    <row r="95" spans="6:13" ht="9.75" customHeight="1">
      <c r="F95" s="73"/>
      <c r="G95" s="416"/>
      <c r="H95" s="416"/>
      <c r="I95" s="73"/>
      <c r="J95" s="74"/>
      <c r="K95" s="74"/>
      <c r="L95" s="74"/>
      <c r="M95" s="74"/>
    </row>
    <row r="96" spans="2:13" ht="22.5" customHeight="1" hidden="1">
      <c r="B96" s="414" t="s">
        <v>60</v>
      </c>
      <c r="C96" s="415"/>
      <c r="D96" s="86">
        <v>0</v>
      </c>
      <c r="E96" s="56" t="s">
        <v>24</v>
      </c>
      <c r="F96" s="73"/>
      <c r="G96" s="416"/>
      <c r="H96" s="416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980</v>
      </c>
      <c r="F97" s="247">
        <f>F45+F48+F49</f>
        <v>801.91</v>
      </c>
      <c r="G97" s="73">
        <f>G45+G48+G49</f>
        <v>-178.09000000000006</v>
      </c>
      <c r="H97" s="74"/>
      <c r="I97" s="74"/>
      <c r="N97" s="31">
        <f>N45+N48+N49</f>
        <v>22</v>
      </c>
      <c r="O97" s="246">
        <f>O45+O48+O49</f>
        <v>7.399999999999977</v>
      </c>
      <c r="P97" s="31">
        <f>P45+P48+P49</f>
        <v>-14.600000000000023</v>
      </c>
    </row>
    <row r="98" spans="4:16" ht="15">
      <c r="D98" s="83"/>
      <c r="I98" s="31"/>
      <c r="O98" s="417"/>
      <c r="P98" s="417"/>
    </row>
    <row r="99" spans="15:16" ht="15">
      <c r="O99" s="416"/>
      <c r="P99" s="416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1811023622047245" top="0.1968503937007874" bottom="0.15748031496062992" header="0" footer="0"/>
  <pageSetup fitToHeight="2" fitToWidth="1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7" t="s">
        <v>139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9"/>
      <c r="B3" s="441"/>
      <c r="C3" s="442" t="s">
        <v>0</v>
      </c>
      <c r="D3" s="443" t="s">
        <v>121</v>
      </c>
      <c r="E3" s="34"/>
      <c r="F3" s="444" t="s">
        <v>26</v>
      </c>
      <c r="G3" s="445"/>
      <c r="H3" s="445"/>
      <c r="I3" s="445"/>
      <c r="J3" s="446"/>
      <c r="K3" s="89"/>
      <c r="L3" s="89"/>
      <c r="M3" s="457" t="s">
        <v>128</v>
      </c>
      <c r="N3" s="448" t="s">
        <v>119</v>
      </c>
      <c r="O3" s="448"/>
      <c r="P3" s="448"/>
      <c r="Q3" s="448"/>
      <c r="R3" s="448"/>
    </row>
    <row r="4" spans="1:18" ht="22.5" customHeight="1">
      <c r="A4" s="439"/>
      <c r="B4" s="441"/>
      <c r="C4" s="442"/>
      <c r="D4" s="443"/>
      <c r="E4" s="449" t="s">
        <v>127</v>
      </c>
      <c r="F4" s="454" t="s">
        <v>34</v>
      </c>
      <c r="G4" s="424" t="s">
        <v>116</v>
      </c>
      <c r="H4" s="433" t="s">
        <v>117</v>
      </c>
      <c r="I4" s="424" t="s">
        <v>122</v>
      </c>
      <c r="J4" s="433" t="s">
        <v>123</v>
      </c>
      <c r="K4" s="91" t="s">
        <v>65</v>
      </c>
      <c r="L4" s="96" t="s">
        <v>64</v>
      </c>
      <c r="M4" s="433"/>
      <c r="N4" s="435" t="s">
        <v>140</v>
      </c>
      <c r="O4" s="424" t="s">
        <v>50</v>
      </c>
      <c r="P4" s="426" t="s">
        <v>49</v>
      </c>
      <c r="Q4" s="97" t="s">
        <v>65</v>
      </c>
      <c r="R4" s="98" t="s">
        <v>64</v>
      </c>
    </row>
    <row r="5" spans="1:18" ht="92.25" customHeight="1">
      <c r="A5" s="440"/>
      <c r="B5" s="441"/>
      <c r="C5" s="442"/>
      <c r="D5" s="443"/>
      <c r="E5" s="450"/>
      <c r="F5" s="455"/>
      <c r="G5" s="425"/>
      <c r="H5" s="434"/>
      <c r="I5" s="425"/>
      <c r="J5" s="434"/>
      <c r="K5" s="427" t="s">
        <v>118</v>
      </c>
      <c r="L5" s="429"/>
      <c r="M5" s="434"/>
      <c r="N5" s="436"/>
      <c r="O5" s="425"/>
      <c r="P5" s="426"/>
      <c r="Q5" s="427" t="s">
        <v>120</v>
      </c>
      <c r="R5" s="42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0"/>
      <c r="H83" s="430"/>
      <c r="I83" s="430"/>
      <c r="J83" s="430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2"/>
      <c r="O84" s="422"/>
    </row>
    <row r="85" spans="3:15" ht="15">
      <c r="C85" s="87">
        <v>42426</v>
      </c>
      <c r="D85" s="31">
        <v>6256.2</v>
      </c>
      <c r="F85" s="124" t="s">
        <v>59</v>
      </c>
      <c r="G85" s="416"/>
      <c r="H85" s="416"/>
      <c r="I85" s="131"/>
      <c r="J85" s="419"/>
      <c r="K85" s="419"/>
      <c r="L85" s="419"/>
      <c r="M85" s="419"/>
      <c r="N85" s="422"/>
      <c r="O85" s="422"/>
    </row>
    <row r="86" spans="3:15" ht="15.75" customHeight="1">
      <c r="C86" s="87">
        <v>42425</v>
      </c>
      <c r="D86" s="31">
        <v>3536.9</v>
      </c>
      <c r="F86" s="73"/>
      <c r="G86" s="416"/>
      <c r="H86" s="416"/>
      <c r="I86" s="131"/>
      <c r="J86" s="423"/>
      <c r="K86" s="423"/>
      <c r="L86" s="423"/>
      <c r="M86" s="423"/>
      <c r="N86" s="422"/>
      <c r="O86" s="422"/>
    </row>
    <row r="87" spans="3:13" ht="15.75" customHeight="1">
      <c r="C87" s="87"/>
      <c r="F87" s="73"/>
      <c r="G87" s="418"/>
      <c r="H87" s="418"/>
      <c r="I87" s="139"/>
      <c r="J87" s="419"/>
      <c r="K87" s="419"/>
      <c r="L87" s="419"/>
      <c r="M87" s="419"/>
    </row>
    <row r="88" spans="2:13" ht="18.75" customHeight="1">
      <c r="B88" s="420" t="s">
        <v>57</v>
      </c>
      <c r="C88" s="421"/>
      <c r="D88" s="148">
        <v>505.3</v>
      </c>
      <c r="E88" s="74"/>
      <c r="F88" s="140" t="s">
        <v>137</v>
      </c>
      <c r="G88" s="416"/>
      <c r="H88" s="416"/>
      <c r="I88" s="141"/>
      <c r="J88" s="419"/>
      <c r="K88" s="419"/>
      <c r="L88" s="419"/>
      <c r="M88" s="419"/>
    </row>
    <row r="89" spans="6:12" ht="9.75" customHeight="1">
      <c r="F89" s="73"/>
      <c r="G89" s="416"/>
      <c r="H89" s="416"/>
      <c r="I89" s="73"/>
      <c r="J89" s="74"/>
      <c r="K89" s="74"/>
      <c r="L89" s="74"/>
    </row>
    <row r="90" spans="2:12" ht="22.5" customHeight="1" hidden="1">
      <c r="B90" s="414" t="s">
        <v>60</v>
      </c>
      <c r="C90" s="415"/>
      <c r="D90" s="86">
        <v>0</v>
      </c>
      <c r="E90" s="56" t="s">
        <v>24</v>
      </c>
      <c r="F90" s="73"/>
      <c r="G90" s="416"/>
      <c r="H90" s="416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6"/>
      <c r="O91" s="416"/>
    </row>
    <row r="92" spans="4:15" ht="15">
      <c r="D92" s="83"/>
      <c r="I92" s="31"/>
      <c r="N92" s="417"/>
      <c r="O92" s="417"/>
    </row>
    <row r="93" spans="14:15" ht="15">
      <c r="N93" s="416"/>
      <c r="O93" s="416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7" t="s">
        <v>114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9"/>
      <c r="B3" s="441" t="s">
        <v>135</v>
      </c>
      <c r="C3" s="442" t="s">
        <v>0</v>
      </c>
      <c r="D3" s="443" t="s">
        <v>121</v>
      </c>
      <c r="E3" s="34"/>
      <c r="F3" s="444" t="s">
        <v>26</v>
      </c>
      <c r="G3" s="445"/>
      <c r="H3" s="445"/>
      <c r="I3" s="445"/>
      <c r="J3" s="446"/>
      <c r="K3" s="89"/>
      <c r="L3" s="89"/>
      <c r="M3" s="457" t="s">
        <v>132</v>
      </c>
      <c r="N3" s="448" t="s">
        <v>66</v>
      </c>
      <c r="O3" s="448"/>
      <c r="P3" s="448"/>
      <c r="Q3" s="448"/>
      <c r="R3" s="448"/>
    </row>
    <row r="4" spans="1:18" ht="22.5" customHeight="1">
      <c r="A4" s="439"/>
      <c r="B4" s="441"/>
      <c r="C4" s="442"/>
      <c r="D4" s="443"/>
      <c r="E4" s="449" t="s">
        <v>129</v>
      </c>
      <c r="F4" s="454" t="s">
        <v>34</v>
      </c>
      <c r="G4" s="424" t="s">
        <v>130</v>
      </c>
      <c r="H4" s="433" t="s">
        <v>131</v>
      </c>
      <c r="I4" s="424" t="s">
        <v>122</v>
      </c>
      <c r="J4" s="433" t="s">
        <v>123</v>
      </c>
      <c r="K4" s="91" t="s">
        <v>65</v>
      </c>
      <c r="L4" s="96" t="s">
        <v>64</v>
      </c>
      <c r="M4" s="433"/>
      <c r="N4" s="458" t="s">
        <v>133</v>
      </c>
      <c r="O4" s="424" t="s">
        <v>50</v>
      </c>
      <c r="P4" s="426" t="s">
        <v>49</v>
      </c>
      <c r="Q4" s="97" t="s">
        <v>65</v>
      </c>
      <c r="R4" s="98" t="s">
        <v>64</v>
      </c>
    </row>
    <row r="5" spans="1:18" ht="92.25" customHeight="1">
      <c r="A5" s="440"/>
      <c r="B5" s="441"/>
      <c r="C5" s="442"/>
      <c r="D5" s="443"/>
      <c r="E5" s="450"/>
      <c r="F5" s="455"/>
      <c r="G5" s="425"/>
      <c r="H5" s="434"/>
      <c r="I5" s="425"/>
      <c r="J5" s="434"/>
      <c r="K5" s="427" t="s">
        <v>134</v>
      </c>
      <c r="L5" s="429"/>
      <c r="M5" s="434"/>
      <c r="N5" s="459"/>
      <c r="O5" s="425"/>
      <c r="P5" s="426"/>
      <c r="Q5" s="427" t="s">
        <v>120</v>
      </c>
      <c r="R5" s="42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0"/>
      <c r="H83" s="430"/>
      <c r="I83" s="430"/>
      <c r="J83" s="430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2"/>
      <c r="O84" s="422"/>
    </row>
    <row r="85" spans="3:15" ht="15">
      <c r="C85" s="87">
        <v>42397</v>
      </c>
      <c r="D85" s="31">
        <v>8685</v>
      </c>
      <c r="F85" s="124" t="s">
        <v>59</v>
      </c>
      <c r="G85" s="416"/>
      <c r="H85" s="416"/>
      <c r="I85" s="131"/>
      <c r="J85" s="419"/>
      <c r="K85" s="419"/>
      <c r="L85" s="419"/>
      <c r="M85" s="419"/>
      <c r="N85" s="422"/>
      <c r="O85" s="422"/>
    </row>
    <row r="86" spans="3:15" ht="15.75" customHeight="1">
      <c r="C86" s="87">
        <v>42396</v>
      </c>
      <c r="D86" s="31">
        <v>4820.3</v>
      </c>
      <c r="F86" s="73"/>
      <c r="G86" s="416"/>
      <c r="H86" s="416"/>
      <c r="I86" s="131"/>
      <c r="J86" s="423"/>
      <c r="K86" s="423"/>
      <c r="L86" s="423"/>
      <c r="M86" s="423"/>
      <c r="N86" s="422"/>
      <c r="O86" s="422"/>
    </row>
    <row r="87" spans="3:13" ht="15.75" customHeight="1">
      <c r="C87" s="87"/>
      <c r="F87" s="73"/>
      <c r="G87" s="418"/>
      <c r="H87" s="418"/>
      <c r="I87" s="139"/>
      <c r="J87" s="419"/>
      <c r="K87" s="419"/>
      <c r="L87" s="419"/>
      <c r="M87" s="419"/>
    </row>
    <row r="88" spans="2:13" ht="18.75" customHeight="1">
      <c r="B88" s="420" t="s">
        <v>57</v>
      </c>
      <c r="C88" s="421"/>
      <c r="D88" s="148">
        <v>300.92</v>
      </c>
      <c r="E88" s="74"/>
      <c r="F88" s="140"/>
      <c r="G88" s="416"/>
      <c r="H88" s="416"/>
      <c r="I88" s="141"/>
      <c r="J88" s="419"/>
      <c r="K88" s="419"/>
      <c r="L88" s="419"/>
      <c r="M88" s="419"/>
    </row>
    <row r="89" spans="6:12" ht="9.75" customHeight="1">
      <c r="F89" s="73"/>
      <c r="G89" s="416"/>
      <c r="H89" s="416"/>
      <c r="I89" s="73"/>
      <c r="J89" s="74"/>
      <c r="K89" s="74"/>
      <c r="L89" s="74"/>
    </row>
    <row r="90" spans="2:12" ht="22.5" customHeight="1" hidden="1">
      <c r="B90" s="414" t="s">
        <v>60</v>
      </c>
      <c r="C90" s="415"/>
      <c r="D90" s="86">
        <v>0</v>
      </c>
      <c r="E90" s="56" t="s">
        <v>24</v>
      </c>
      <c r="F90" s="73"/>
      <c r="G90" s="416"/>
      <c r="H90" s="416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6"/>
      <c r="O91" s="416"/>
    </row>
    <row r="92" spans="4:15" ht="15">
      <c r="D92" s="83"/>
      <c r="I92" s="31"/>
      <c r="N92" s="417"/>
      <c r="O92" s="417"/>
    </row>
    <row r="93" spans="14:15" ht="15">
      <c r="N93" s="416"/>
      <c r="O93" s="416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7" t="s">
        <v>114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92"/>
      <c r="R1" s="93"/>
    </row>
    <row r="2" spans="2:18" s="1" customFormat="1" ht="15.75" customHeight="1">
      <c r="B2" s="456"/>
      <c r="C2" s="456"/>
      <c r="D2" s="456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9"/>
      <c r="B3" s="441" t="s">
        <v>136</v>
      </c>
      <c r="C3" s="442" t="s">
        <v>0</v>
      </c>
      <c r="D3" s="443" t="s">
        <v>115</v>
      </c>
      <c r="E3" s="34"/>
      <c r="F3" s="444" t="s">
        <v>26</v>
      </c>
      <c r="G3" s="445"/>
      <c r="H3" s="445"/>
      <c r="I3" s="445"/>
      <c r="J3" s="446"/>
      <c r="K3" s="89"/>
      <c r="L3" s="89"/>
      <c r="M3" s="457" t="s">
        <v>107</v>
      </c>
      <c r="N3" s="448" t="s">
        <v>66</v>
      </c>
      <c r="O3" s="448"/>
      <c r="P3" s="448"/>
      <c r="Q3" s="448"/>
      <c r="R3" s="448"/>
    </row>
    <row r="4" spans="1:18" ht="22.5" customHeight="1">
      <c r="A4" s="439"/>
      <c r="B4" s="441"/>
      <c r="C4" s="442"/>
      <c r="D4" s="443"/>
      <c r="E4" s="449" t="s">
        <v>104</v>
      </c>
      <c r="F4" s="460" t="s">
        <v>34</v>
      </c>
      <c r="G4" s="424" t="s">
        <v>109</v>
      </c>
      <c r="H4" s="433" t="s">
        <v>110</v>
      </c>
      <c r="I4" s="424" t="s">
        <v>105</v>
      </c>
      <c r="J4" s="433" t="s">
        <v>106</v>
      </c>
      <c r="K4" s="91" t="s">
        <v>65</v>
      </c>
      <c r="L4" s="96" t="s">
        <v>64</v>
      </c>
      <c r="M4" s="433"/>
      <c r="N4" s="458" t="s">
        <v>103</v>
      </c>
      <c r="O4" s="424" t="s">
        <v>50</v>
      </c>
      <c r="P4" s="426" t="s">
        <v>49</v>
      </c>
      <c r="Q4" s="97" t="s">
        <v>65</v>
      </c>
      <c r="R4" s="98" t="s">
        <v>64</v>
      </c>
    </row>
    <row r="5" spans="1:18" ht="76.5" customHeight="1">
      <c r="A5" s="440"/>
      <c r="B5" s="441"/>
      <c r="C5" s="442"/>
      <c r="D5" s="443"/>
      <c r="E5" s="450"/>
      <c r="F5" s="461"/>
      <c r="G5" s="425"/>
      <c r="H5" s="434"/>
      <c r="I5" s="425"/>
      <c r="J5" s="434"/>
      <c r="K5" s="427" t="s">
        <v>108</v>
      </c>
      <c r="L5" s="429"/>
      <c r="M5" s="434"/>
      <c r="N5" s="459"/>
      <c r="O5" s="425"/>
      <c r="P5" s="426"/>
      <c r="Q5" s="427" t="s">
        <v>126</v>
      </c>
      <c r="R5" s="42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0"/>
      <c r="H82" s="430"/>
      <c r="I82" s="430"/>
      <c r="J82" s="430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2"/>
      <c r="O83" s="422"/>
    </row>
    <row r="84" spans="3:15" ht="15">
      <c r="C84" s="87">
        <v>42397</v>
      </c>
      <c r="D84" s="31">
        <v>8685</v>
      </c>
      <c r="F84" s="166" t="s">
        <v>59</v>
      </c>
      <c r="G84" s="416"/>
      <c r="H84" s="416"/>
      <c r="I84" s="131"/>
      <c r="J84" s="419"/>
      <c r="K84" s="419"/>
      <c r="L84" s="419"/>
      <c r="M84" s="419"/>
      <c r="N84" s="422"/>
      <c r="O84" s="422"/>
    </row>
    <row r="85" spans="3:15" ht="15.75" customHeight="1">
      <c r="C85" s="87">
        <v>42396</v>
      </c>
      <c r="D85" s="31">
        <v>4820.3</v>
      </c>
      <c r="F85" s="167"/>
      <c r="G85" s="416"/>
      <c r="H85" s="416"/>
      <c r="I85" s="131"/>
      <c r="J85" s="423"/>
      <c r="K85" s="423"/>
      <c r="L85" s="423"/>
      <c r="M85" s="423"/>
      <c r="N85" s="422"/>
      <c r="O85" s="422"/>
    </row>
    <row r="86" spans="3:13" ht="15.75" customHeight="1">
      <c r="C86" s="87"/>
      <c r="F86" s="167"/>
      <c r="G86" s="418"/>
      <c r="H86" s="418"/>
      <c r="I86" s="139"/>
      <c r="J86" s="419"/>
      <c r="K86" s="419"/>
      <c r="L86" s="419"/>
      <c r="M86" s="419"/>
    </row>
    <row r="87" spans="2:13" ht="18.75" customHeight="1">
      <c r="B87" s="420" t="s">
        <v>57</v>
      </c>
      <c r="C87" s="421"/>
      <c r="D87" s="148">
        <v>300.92</v>
      </c>
      <c r="E87" s="74"/>
      <c r="F87" s="168"/>
      <c r="G87" s="416"/>
      <c r="H87" s="416"/>
      <c r="I87" s="141"/>
      <c r="J87" s="419"/>
      <c r="K87" s="419"/>
      <c r="L87" s="419"/>
      <c r="M87" s="419"/>
    </row>
    <row r="88" spans="6:12" ht="9.75" customHeight="1">
      <c r="F88" s="167"/>
      <c r="G88" s="416"/>
      <c r="H88" s="416"/>
      <c r="I88" s="73"/>
      <c r="J88" s="74"/>
      <c r="K88" s="74"/>
      <c r="L88" s="74"/>
    </row>
    <row r="89" spans="2:12" ht="22.5" customHeight="1" hidden="1">
      <c r="B89" s="414" t="s">
        <v>60</v>
      </c>
      <c r="C89" s="415"/>
      <c r="D89" s="86">
        <v>0</v>
      </c>
      <c r="E89" s="56" t="s">
        <v>24</v>
      </c>
      <c r="F89" s="167"/>
      <c r="G89" s="416"/>
      <c r="H89" s="416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6"/>
      <c r="O90" s="416"/>
    </row>
    <row r="91" spans="4:15" ht="15">
      <c r="D91" s="83"/>
      <c r="I91" s="31"/>
      <c r="N91" s="417"/>
      <c r="O91" s="417"/>
    </row>
    <row r="92" spans="14:15" ht="15">
      <c r="N92" s="416"/>
      <c r="O92" s="416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8" zoomScaleNormal="78" zoomScalePageLayoutView="0" workbookViewId="0" topLeftCell="B1">
      <pane xSplit="2" ySplit="8" topLeftCell="D6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75" sqref="G7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7" t="s">
        <v>214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92"/>
      <c r="S1" s="93"/>
    </row>
    <row r="2" spans="2:19" s="1" customFormat="1" ht="15.75" customHeight="1">
      <c r="B2" s="438"/>
      <c r="C2" s="438"/>
      <c r="D2" s="438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9"/>
      <c r="B3" s="441"/>
      <c r="C3" s="442" t="s">
        <v>0</v>
      </c>
      <c r="D3" s="443" t="s">
        <v>121</v>
      </c>
      <c r="E3" s="34"/>
      <c r="F3" s="444" t="s">
        <v>26</v>
      </c>
      <c r="G3" s="445"/>
      <c r="H3" s="445"/>
      <c r="I3" s="445"/>
      <c r="J3" s="446"/>
      <c r="K3" s="89"/>
      <c r="L3" s="89"/>
      <c r="M3" s="89"/>
      <c r="N3" s="447" t="s">
        <v>208</v>
      </c>
      <c r="O3" s="448" t="s">
        <v>209</v>
      </c>
      <c r="P3" s="448"/>
      <c r="Q3" s="448"/>
      <c r="R3" s="448"/>
      <c r="S3" s="448"/>
    </row>
    <row r="4" spans="1:19" ht="22.5" customHeight="1">
      <c r="A4" s="439"/>
      <c r="B4" s="441"/>
      <c r="C4" s="442"/>
      <c r="D4" s="443"/>
      <c r="E4" s="449" t="s">
        <v>210</v>
      </c>
      <c r="F4" s="431" t="s">
        <v>34</v>
      </c>
      <c r="G4" s="424" t="s">
        <v>211</v>
      </c>
      <c r="H4" s="433" t="s">
        <v>212</v>
      </c>
      <c r="I4" s="424" t="s">
        <v>122</v>
      </c>
      <c r="J4" s="433" t="s">
        <v>123</v>
      </c>
      <c r="K4" s="91" t="s">
        <v>186</v>
      </c>
      <c r="L4" s="249" t="s">
        <v>185</v>
      </c>
      <c r="M4" s="96" t="s">
        <v>64</v>
      </c>
      <c r="N4" s="433"/>
      <c r="O4" s="435" t="s">
        <v>215</v>
      </c>
      <c r="P4" s="424" t="s">
        <v>50</v>
      </c>
      <c r="Q4" s="426" t="s">
        <v>49</v>
      </c>
      <c r="R4" s="97" t="s">
        <v>65</v>
      </c>
      <c r="S4" s="98" t="s">
        <v>64</v>
      </c>
    </row>
    <row r="5" spans="1:19" ht="67.5" customHeight="1">
      <c r="A5" s="440"/>
      <c r="B5" s="441"/>
      <c r="C5" s="442"/>
      <c r="D5" s="443"/>
      <c r="E5" s="450"/>
      <c r="F5" s="432"/>
      <c r="G5" s="425"/>
      <c r="H5" s="434"/>
      <c r="I5" s="425"/>
      <c r="J5" s="434"/>
      <c r="K5" s="427" t="s">
        <v>213</v>
      </c>
      <c r="L5" s="428"/>
      <c r="M5" s="429"/>
      <c r="N5" s="434"/>
      <c r="O5" s="436"/>
      <c r="P5" s="425"/>
      <c r="Q5" s="426"/>
      <c r="R5" s="427" t="s">
        <v>120</v>
      </c>
      <c r="S5" s="429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797618.76</v>
      </c>
      <c r="G8" s="191">
        <f aca="true" t="shared" si="0" ref="G8:G37">F8-E8</f>
        <v>1942.8300000000745</v>
      </c>
      <c r="H8" s="192">
        <f>F8/E8*100</f>
        <v>100.244173529291</v>
      </c>
      <c r="I8" s="193">
        <f>F8-D8</f>
        <v>-159452.69000000006</v>
      </c>
      <c r="J8" s="193">
        <f>F8/D8*100</f>
        <v>83.33952078499468</v>
      </c>
      <c r="K8" s="191">
        <v>542586.23</v>
      </c>
      <c r="L8" s="191">
        <f aca="true" t="shared" si="1" ref="L8:L51">F8-K8</f>
        <v>255032.53000000003</v>
      </c>
      <c r="M8" s="250">
        <f aca="true" t="shared" si="2" ref="M8:M28">F8/K8</f>
        <v>1.4700313349271692</v>
      </c>
      <c r="N8" s="191">
        <f>N9+N15+N18+N19+N20+N17</f>
        <v>89825.12</v>
      </c>
      <c r="O8" s="191">
        <f>O9+O15+O18+O19+O20+O17</f>
        <v>89580.09000000001</v>
      </c>
      <c r="P8" s="191">
        <f>O8-N8</f>
        <v>-245.02999999998428</v>
      </c>
      <c r="Q8" s="191">
        <f>O8/N8*100</f>
        <v>99.72721439169801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431282.79</v>
      </c>
      <c r="G9" s="190">
        <f t="shared" si="0"/>
        <v>2159.1199999999953</v>
      </c>
      <c r="H9" s="197">
        <f>F9/E9*100</f>
        <v>100.50314633075355</v>
      </c>
      <c r="I9" s="198">
        <f>F9-D9</f>
        <v>-99306.21000000002</v>
      </c>
      <c r="J9" s="198">
        <f>F9/D9*100</f>
        <v>81.28377897016334</v>
      </c>
      <c r="K9" s="412">
        <v>296275.33</v>
      </c>
      <c r="L9" s="199">
        <f t="shared" si="1"/>
        <v>135007.45999999996</v>
      </c>
      <c r="M9" s="251">
        <f t="shared" si="2"/>
        <v>1.4556824221577949</v>
      </c>
      <c r="N9" s="197">
        <f>E9-вересень!E9</f>
        <v>50045</v>
      </c>
      <c r="O9" s="200">
        <f>F9-вересень!F9</f>
        <v>45956.380000000005</v>
      </c>
      <c r="P9" s="201">
        <f>O9-N9</f>
        <v>-4088.6199999999953</v>
      </c>
      <c r="Q9" s="198">
        <f>O9/N9*100</f>
        <v>91.83011289839146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379448.35</v>
      </c>
      <c r="G10" s="109">
        <f t="shared" si="0"/>
        <v>-6701.890000000014</v>
      </c>
      <c r="H10" s="32">
        <f aca="true" t="shared" si="3" ref="H10:H36">F10/E10*100</f>
        <v>98.26443458898278</v>
      </c>
      <c r="I10" s="110">
        <f aca="true" t="shared" si="4" ref="I10:I37">F10-D10</f>
        <v>-105760.65000000002</v>
      </c>
      <c r="J10" s="110">
        <f aca="true" t="shared" si="5" ref="J10:J36">F10/D10*100</f>
        <v>78.20307331479836</v>
      </c>
      <c r="K10" s="112">
        <v>262635.28</v>
      </c>
      <c r="L10" s="112">
        <f t="shared" si="1"/>
        <v>116813.06999999995</v>
      </c>
      <c r="M10" s="252">
        <f t="shared" si="2"/>
        <v>1.4447729566263905</v>
      </c>
      <c r="N10" s="111">
        <f>E10-вересень!E10</f>
        <v>47580</v>
      </c>
      <c r="O10" s="179">
        <f>F10-вересень!F10</f>
        <v>40179.29999999999</v>
      </c>
      <c r="P10" s="112">
        <f aca="true" t="shared" si="6" ref="P10:P37">O10-N10</f>
        <v>-7400.700000000012</v>
      </c>
      <c r="Q10" s="198">
        <f aca="true" t="shared" si="7" ref="Q10:Q16">O10/N10*100</f>
        <v>84.44577553593945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32764.1</v>
      </c>
      <c r="G11" s="109">
        <f t="shared" si="0"/>
        <v>9949.16</v>
      </c>
      <c r="H11" s="32">
        <f t="shared" si="3"/>
        <v>143.60809189066464</v>
      </c>
      <c r="I11" s="110">
        <f t="shared" si="4"/>
        <v>9764.099999999999</v>
      </c>
      <c r="J11" s="110">
        <f t="shared" si="5"/>
        <v>142.45260869565217</v>
      </c>
      <c r="K11" s="112">
        <v>15809.05</v>
      </c>
      <c r="L11" s="112">
        <f t="shared" si="1"/>
        <v>16955.05</v>
      </c>
      <c r="M11" s="252">
        <f t="shared" si="2"/>
        <v>2.0724901243275213</v>
      </c>
      <c r="N11" s="111">
        <f>E11-вересень!E11</f>
        <v>1300</v>
      </c>
      <c r="O11" s="179">
        <f>F11-вересень!F11</f>
        <v>4266.629999999997</v>
      </c>
      <c r="P11" s="112">
        <f t="shared" si="6"/>
        <v>2966.6299999999974</v>
      </c>
      <c r="Q11" s="198">
        <f t="shared" si="7"/>
        <v>328.2023076923075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7976.57</v>
      </c>
      <c r="G12" s="109">
        <f t="shared" si="0"/>
        <v>1595.96</v>
      </c>
      <c r="H12" s="32">
        <f t="shared" si="3"/>
        <v>125.01265552980045</v>
      </c>
      <c r="I12" s="110">
        <f t="shared" si="4"/>
        <v>1476.5699999999997</v>
      </c>
      <c r="J12" s="110">
        <f t="shared" si="5"/>
        <v>122.71646153846154</v>
      </c>
      <c r="K12" s="112">
        <v>4169.14</v>
      </c>
      <c r="L12" s="112">
        <f t="shared" si="1"/>
        <v>3807.4299999999994</v>
      </c>
      <c r="M12" s="252">
        <f t="shared" si="2"/>
        <v>1.9132411000829905</v>
      </c>
      <c r="N12" s="111">
        <f>E12-вересень!E12</f>
        <v>500</v>
      </c>
      <c r="O12" s="179">
        <f>F12-вересень!F12</f>
        <v>566.8499999999995</v>
      </c>
      <c r="P12" s="112">
        <f t="shared" si="6"/>
        <v>66.84999999999945</v>
      </c>
      <c r="Q12" s="198">
        <f t="shared" si="7"/>
        <v>113.36999999999988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8349.79</v>
      </c>
      <c r="G13" s="109">
        <f t="shared" si="0"/>
        <v>-1965.0499999999993</v>
      </c>
      <c r="H13" s="32">
        <f t="shared" si="3"/>
        <v>80.94929247569522</v>
      </c>
      <c r="I13" s="110">
        <f t="shared" si="4"/>
        <v>-4050.209999999999</v>
      </c>
      <c r="J13" s="110">
        <f t="shared" si="5"/>
        <v>67.33701612903226</v>
      </c>
      <c r="K13" s="112">
        <v>6098.87</v>
      </c>
      <c r="L13" s="112">
        <f t="shared" si="1"/>
        <v>2250.920000000001</v>
      </c>
      <c r="M13" s="252">
        <f t="shared" si="2"/>
        <v>1.3690716476986722</v>
      </c>
      <c r="N13" s="111">
        <f>E13-вересень!E13</f>
        <v>650</v>
      </c>
      <c r="O13" s="179">
        <f>F13-вересень!F13</f>
        <v>838.5400000000009</v>
      </c>
      <c r="P13" s="112">
        <f t="shared" si="6"/>
        <v>188.54000000000087</v>
      </c>
      <c r="Q13" s="198">
        <f t="shared" si="7"/>
        <v>129.00615384615398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2743.99</v>
      </c>
      <c r="G14" s="109">
        <f t="shared" si="0"/>
        <v>-719.0500000000002</v>
      </c>
      <c r="H14" s="32">
        <f t="shared" si="3"/>
        <v>79.23645121049712</v>
      </c>
      <c r="I14" s="110">
        <f t="shared" si="4"/>
        <v>-736.0100000000002</v>
      </c>
      <c r="J14" s="110">
        <f t="shared" si="5"/>
        <v>78.85028735632183</v>
      </c>
      <c r="K14" s="112">
        <v>7562.97</v>
      </c>
      <c r="L14" s="112">
        <f t="shared" si="1"/>
        <v>-4818.9800000000005</v>
      </c>
      <c r="M14" s="252">
        <f t="shared" si="2"/>
        <v>0.3628191041350157</v>
      </c>
      <c r="N14" s="111">
        <f>E14-вересень!E14</f>
        <v>15</v>
      </c>
      <c r="O14" s="179">
        <f>F14-вересень!F14</f>
        <v>105.07999999999993</v>
      </c>
      <c r="P14" s="112">
        <f t="shared" si="6"/>
        <v>90.07999999999993</v>
      </c>
      <c r="Q14" s="198">
        <f t="shared" si="7"/>
        <v>700.5333333333328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83630.43</v>
      </c>
      <c r="G19" s="190">
        <f t="shared" si="0"/>
        <v>-7329.970000000001</v>
      </c>
      <c r="H19" s="197">
        <f t="shared" si="3"/>
        <v>91.94158117158675</v>
      </c>
      <c r="I19" s="198">
        <f t="shared" si="4"/>
        <v>-26269.570000000007</v>
      </c>
      <c r="J19" s="198">
        <f t="shared" si="5"/>
        <v>76.09684258416742</v>
      </c>
      <c r="K19" s="209">
        <v>58485.05</v>
      </c>
      <c r="L19" s="201">
        <f t="shared" si="1"/>
        <v>25145.37999999999</v>
      </c>
      <c r="M19" s="259">
        <f t="shared" si="2"/>
        <v>1.429945430498905</v>
      </c>
      <c r="N19" s="197">
        <f>E19-вересень!E19</f>
        <v>10900</v>
      </c>
      <c r="O19" s="200">
        <f>F19-вересень!F19</f>
        <v>9277.62999999999</v>
      </c>
      <c r="P19" s="201">
        <f t="shared" si="6"/>
        <v>-1622.37000000001</v>
      </c>
      <c r="Q19" s="198">
        <f aca="true" t="shared" si="9" ref="Q19:Q24">O19/N19*100</f>
        <v>85.11587155963294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282212.75</v>
      </c>
      <c r="G20" s="190">
        <f t="shared" si="0"/>
        <v>7106.690000000002</v>
      </c>
      <c r="H20" s="197">
        <f t="shared" si="3"/>
        <v>102.58325461823705</v>
      </c>
      <c r="I20" s="198">
        <f t="shared" si="4"/>
        <v>-33763.90000000002</v>
      </c>
      <c r="J20" s="198">
        <f t="shared" si="5"/>
        <v>89.31443193666367</v>
      </c>
      <c r="K20" s="198">
        <v>182815.03</v>
      </c>
      <c r="L20" s="201">
        <f t="shared" si="1"/>
        <v>99397.72</v>
      </c>
      <c r="M20" s="254">
        <f t="shared" si="2"/>
        <v>1.5437064994054372</v>
      </c>
      <c r="N20" s="197">
        <f>N21+N30+N31+N32</f>
        <v>28870.120000000003</v>
      </c>
      <c r="O20" s="200">
        <f>F20-вересень!F20</f>
        <v>34346.080000000016</v>
      </c>
      <c r="P20" s="201">
        <f t="shared" si="6"/>
        <v>5475.960000000014</v>
      </c>
      <c r="Q20" s="198">
        <f t="shared" si="9"/>
        <v>118.96756923767553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153656.32</v>
      </c>
      <c r="G21" s="190">
        <f t="shared" si="0"/>
        <v>4212.9100000000035</v>
      </c>
      <c r="H21" s="197">
        <f t="shared" si="3"/>
        <v>102.81906709703694</v>
      </c>
      <c r="I21" s="198">
        <f t="shared" si="4"/>
        <v>-21243.329999999987</v>
      </c>
      <c r="J21" s="198">
        <f t="shared" si="5"/>
        <v>87.85398941621668</v>
      </c>
      <c r="K21" s="198">
        <v>100774.79</v>
      </c>
      <c r="L21" s="201">
        <f t="shared" si="1"/>
        <v>52881.53000000001</v>
      </c>
      <c r="M21" s="254">
        <f t="shared" si="2"/>
        <v>1.5247495926312524</v>
      </c>
      <c r="N21" s="197">
        <f>N22+N25+N26</f>
        <v>15362.620000000003</v>
      </c>
      <c r="O21" s="200">
        <f>F21-вересень!F21</f>
        <v>17840.51000000001</v>
      </c>
      <c r="P21" s="201">
        <f t="shared" si="6"/>
        <v>2477.8900000000067</v>
      </c>
      <c r="Q21" s="198">
        <f t="shared" si="9"/>
        <v>116.12934512472486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20221.39</v>
      </c>
      <c r="G22" s="212">
        <f t="shared" si="0"/>
        <v>2896.989999999998</v>
      </c>
      <c r="H22" s="214">
        <f t="shared" si="3"/>
        <v>116.72202211909213</v>
      </c>
      <c r="I22" s="215">
        <f t="shared" si="4"/>
        <v>1721.3899999999994</v>
      </c>
      <c r="J22" s="215">
        <f t="shared" si="5"/>
        <v>109.3048108108108</v>
      </c>
      <c r="K22" s="216">
        <v>12486.13</v>
      </c>
      <c r="L22" s="206">
        <f t="shared" si="1"/>
        <v>7735.26</v>
      </c>
      <c r="M22" s="262">
        <f t="shared" si="2"/>
        <v>1.619508206305717</v>
      </c>
      <c r="N22" s="214">
        <f>E22-вересень!E22</f>
        <v>2199.920000000002</v>
      </c>
      <c r="O22" s="217">
        <f>F22-вересень!F22</f>
        <v>4462.57</v>
      </c>
      <c r="P22" s="218">
        <f t="shared" si="6"/>
        <v>2262.649999999998</v>
      </c>
      <c r="Q22" s="215">
        <f t="shared" si="9"/>
        <v>202.8514673260844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795.54</v>
      </c>
      <c r="G23" s="241">
        <f t="shared" si="0"/>
        <v>-428.8600000000001</v>
      </c>
      <c r="H23" s="242">
        <f t="shared" si="3"/>
        <v>64.97386475008167</v>
      </c>
      <c r="I23" s="243">
        <f t="shared" si="4"/>
        <v>-1204.46</v>
      </c>
      <c r="J23" s="243">
        <f t="shared" si="5"/>
        <v>39.776999999999994</v>
      </c>
      <c r="K23" s="261">
        <v>666.58</v>
      </c>
      <c r="L23" s="261">
        <f t="shared" si="1"/>
        <v>128.95999999999992</v>
      </c>
      <c r="M23" s="263">
        <f t="shared" si="2"/>
        <v>1.1934651504695608</v>
      </c>
      <c r="N23" s="239">
        <f>E23-вересень!E23</f>
        <v>200</v>
      </c>
      <c r="O23" s="239">
        <f>F23-вересень!F23</f>
        <v>126.68999999999994</v>
      </c>
      <c r="P23" s="240">
        <f t="shared" si="6"/>
        <v>-73.31000000000006</v>
      </c>
      <c r="Q23" s="240">
        <f t="shared" si="9"/>
        <v>63.34499999999997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19425.85</v>
      </c>
      <c r="G24" s="241">
        <f t="shared" si="0"/>
        <v>3325.8499999999985</v>
      </c>
      <c r="H24" s="242">
        <f t="shared" si="3"/>
        <v>120.65745341614907</v>
      </c>
      <c r="I24" s="243">
        <f t="shared" si="4"/>
        <v>2925.8499999999985</v>
      </c>
      <c r="J24" s="243">
        <f t="shared" si="5"/>
        <v>117.73242424242423</v>
      </c>
      <c r="K24" s="261">
        <v>11819.55</v>
      </c>
      <c r="L24" s="261">
        <f t="shared" si="1"/>
        <v>7606.299999999999</v>
      </c>
      <c r="M24" s="263">
        <f t="shared" si="2"/>
        <v>1.6435354983903787</v>
      </c>
      <c r="N24" s="239">
        <f>E24-вересень!E24</f>
        <v>1999.92</v>
      </c>
      <c r="O24" s="239">
        <f>F24-вересень!F24</f>
        <v>4335.879999999999</v>
      </c>
      <c r="P24" s="240">
        <f t="shared" si="6"/>
        <v>2335.959999999999</v>
      </c>
      <c r="Q24" s="240">
        <f t="shared" si="9"/>
        <v>216.80267210688422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3493.96</v>
      </c>
      <c r="L25" s="215">
        <f t="shared" si="1"/>
        <v>-2683.67</v>
      </c>
      <c r="M25" s="257">
        <f t="shared" si="2"/>
        <v>0.2319116418047144</v>
      </c>
      <c r="N25" s="214">
        <f>E25-вересень!E25</f>
        <v>52.69999999999993</v>
      </c>
      <c r="O25" s="217">
        <f>F25-вересень!F25</f>
        <v>32.94999999999993</v>
      </c>
      <c r="P25" s="218">
        <f t="shared" si="6"/>
        <v>-19.75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132624.64</v>
      </c>
      <c r="G26" s="212">
        <f t="shared" si="0"/>
        <v>1485.6700000000128</v>
      </c>
      <c r="H26" s="214">
        <f t="shared" si="3"/>
        <v>101.13289741409439</v>
      </c>
      <c r="I26" s="215">
        <f t="shared" si="4"/>
        <v>-22775.00999999998</v>
      </c>
      <c r="J26" s="215">
        <f t="shared" si="5"/>
        <v>85.34423340078308</v>
      </c>
      <c r="K26" s="216">
        <v>84794.7</v>
      </c>
      <c r="L26" s="216">
        <f t="shared" si="1"/>
        <v>47829.94000000002</v>
      </c>
      <c r="M26" s="256">
        <f t="shared" si="2"/>
        <v>1.5640675655436014</v>
      </c>
      <c r="N26" s="214">
        <f>E26-вересень!E26</f>
        <v>13110</v>
      </c>
      <c r="O26" s="217">
        <f>F26-вересень!F26</f>
        <v>13344.99000000002</v>
      </c>
      <c r="P26" s="218">
        <f t="shared" si="6"/>
        <v>234.9900000000198</v>
      </c>
      <c r="Q26" s="215">
        <f>O26/N26*100</f>
        <v>101.79244851258595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42006.28</v>
      </c>
      <c r="G27" s="241">
        <f t="shared" si="0"/>
        <v>1604.479999999996</v>
      </c>
      <c r="H27" s="242">
        <f t="shared" si="3"/>
        <v>103.97130820904019</v>
      </c>
      <c r="I27" s="243">
        <f t="shared" si="4"/>
        <v>-5360.720000000001</v>
      </c>
      <c r="J27" s="243">
        <f t="shared" si="5"/>
        <v>88.6825849219921</v>
      </c>
      <c r="K27" s="261">
        <v>22986.34</v>
      </c>
      <c r="L27" s="261">
        <f t="shared" si="1"/>
        <v>19019.94</v>
      </c>
      <c r="M27" s="263">
        <f t="shared" si="2"/>
        <v>1.827445343625823</v>
      </c>
      <c r="N27" s="239">
        <f>E27-вересень!E27</f>
        <v>3520</v>
      </c>
      <c r="O27" s="239">
        <f>F27-вересень!F27</f>
        <v>4010.159999999996</v>
      </c>
      <c r="P27" s="240">
        <f t="shared" si="6"/>
        <v>490.1599999999962</v>
      </c>
      <c r="Q27" s="240">
        <f>O27/N27*100</f>
        <v>113.9249999999999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90618.36</v>
      </c>
      <c r="G28" s="241">
        <f t="shared" si="0"/>
        <v>-118.80999999999767</v>
      </c>
      <c r="H28" s="242">
        <f t="shared" si="3"/>
        <v>99.86906137804387</v>
      </c>
      <c r="I28" s="243">
        <f t="shared" si="4"/>
        <v>-17414.289999999994</v>
      </c>
      <c r="J28" s="243">
        <f t="shared" si="5"/>
        <v>83.88053056182552</v>
      </c>
      <c r="K28" s="261">
        <v>61808.36</v>
      </c>
      <c r="L28" s="261">
        <f t="shared" si="1"/>
        <v>28810</v>
      </c>
      <c r="M28" s="263">
        <f t="shared" si="2"/>
        <v>1.4661181755995467</v>
      </c>
      <c r="N28" s="239">
        <f>E28-вересень!E28</f>
        <v>9590</v>
      </c>
      <c r="O28" s="239">
        <f>F28-вересень!F28</f>
        <v>9334.839999999997</v>
      </c>
      <c r="P28" s="240">
        <f t="shared" si="6"/>
        <v>-255.1600000000035</v>
      </c>
      <c r="Q28" s="240">
        <f>O28/N28*100</f>
        <v>97.33931178310736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96.18</v>
      </c>
      <c r="G30" s="190">
        <f t="shared" si="0"/>
        <v>33.370000000000005</v>
      </c>
      <c r="H30" s="197">
        <f t="shared" si="3"/>
        <v>153.1284827256806</v>
      </c>
      <c r="I30" s="198">
        <f t="shared" si="4"/>
        <v>19.180000000000007</v>
      </c>
      <c r="J30" s="198">
        <f t="shared" si="5"/>
        <v>124.90909090909092</v>
      </c>
      <c r="K30" s="198">
        <v>60.64</v>
      </c>
      <c r="L30" s="198">
        <f t="shared" si="1"/>
        <v>35.540000000000006</v>
      </c>
      <c r="M30" s="255">
        <f>F30/K30</f>
        <v>1.5860817941952507</v>
      </c>
      <c r="N30" s="197">
        <f>E30-вересень!E30</f>
        <v>7.5</v>
      </c>
      <c r="O30" s="200">
        <f>F30-вересень!F30</f>
        <v>8.230000000000004</v>
      </c>
      <c r="P30" s="201">
        <f t="shared" si="6"/>
        <v>0.730000000000004</v>
      </c>
      <c r="Q30" s="198">
        <f>O30/N30*100</f>
        <v>109.73333333333339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-173.07</v>
      </c>
      <c r="G31" s="190">
        <f t="shared" si="0"/>
        <v>-173.07</v>
      </c>
      <c r="H31" s="197"/>
      <c r="I31" s="198">
        <f t="shared" si="4"/>
        <v>-173.07</v>
      </c>
      <c r="J31" s="198"/>
      <c r="K31" s="198">
        <v>-740.94</v>
      </c>
      <c r="L31" s="198">
        <f t="shared" si="1"/>
        <v>567.8700000000001</v>
      </c>
      <c r="M31" s="255">
        <f>F31/K31</f>
        <v>0.23358166653170295</v>
      </c>
      <c r="N31" s="197">
        <f>E31-вересень!E31</f>
        <v>0</v>
      </c>
      <c r="O31" s="200">
        <f>F31-вересень!F31</f>
        <v>-12.969999999999999</v>
      </c>
      <c r="P31" s="201">
        <f t="shared" si="6"/>
        <v>-12.969999999999999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128633.17</v>
      </c>
      <c r="G32" s="202">
        <f t="shared" si="0"/>
        <v>3033.3300000000017</v>
      </c>
      <c r="H32" s="204">
        <f t="shared" si="3"/>
        <v>102.41507473257927</v>
      </c>
      <c r="I32" s="205">
        <f t="shared" si="4"/>
        <v>-12366.830000000002</v>
      </c>
      <c r="J32" s="205">
        <f t="shared" si="5"/>
        <v>91.22919858156028</v>
      </c>
      <c r="K32" s="219">
        <v>82720.54</v>
      </c>
      <c r="L32" s="219">
        <f>F32-K32</f>
        <v>45912.630000000005</v>
      </c>
      <c r="M32" s="411">
        <f>F32/K32</f>
        <v>1.5550330063125797</v>
      </c>
      <c r="N32" s="197">
        <f>E32-вересень!E32</f>
        <v>13500</v>
      </c>
      <c r="O32" s="200">
        <f>F32-вересень!F32</f>
        <v>16510.309999999998</v>
      </c>
      <c r="P32" s="207">
        <f t="shared" si="6"/>
        <v>3010.3099999999977</v>
      </c>
      <c r="Q32" s="205">
        <f>O32/N32*100</f>
        <v>122.29859259259257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31576.04</v>
      </c>
      <c r="G34" s="109">
        <f t="shared" si="0"/>
        <v>913.0699999999997</v>
      </c>
      <c r="H34" s="111">
        <f t="shared" si="3"/>
        <v>102.97776112359631</v>
      </c>
      <c r="I34" s="110">
        <f t="shared" si="4"/>
        <v>-2640.959999999999</v>
      </c>
      <c r="J34" s="110">
        <f t="shared" si="5"/>
        <v>92.2817313031534</v>
      </c>
      <c r="K34" s="142">
        <v>19963.33</v>
      </c>
      <c r="L34" s="142">
        <f t="shared" si="1"/>
        <v>11612.71</v>
      </c>
      <c r="M34" s="264">
        <f t="shared" si="10"/>
        <v>1.5817020507099766</v>
      </c>
      <c r="N34" s="111">
        <f>E34-вересень!E34</f>
        <v>2300</v>
      </c>
      <c r="O34" s="179">
        <f>F34-вересень!F34</f>
        <v>3235.630000000001</v>
      </c>
      <c r="P34" s="112">
        <f t="shared" si="6"/>
        <v>935.630000000001</v>
      </c>
      <c r="Q34" s="110">
        <f>O34/N34*100</f>
        <v>140.67956521739134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97003.82</v>
      </c>
      <c r="G35" s="109">
        <f t="shared" si="0"/>
        <v>2083.7400000000052</v>
      </c>
      <c r="H35" s="111">
        <f t="shared" si="3"/>
        <v>102.19525731541736</v>
      </c>
      <c r="I35" s="110">
        <f t="shared" si="4"/>
        <v>-9728.179999999993</v>
      </c>
      <c r="J35" s="110">
        <f t="shared" si="5"/>
        <v>90.88541393396545</v>
      </c>
      <c r="K35" s="142">
        <v>62729.49</v>
      </c>
      <c r="L35" s="142">
        <f t="shared" si="1"/>
        <v>34274.33000000001</v>
      </c>
      <c r="M35" s="264">
        <f t="shared" si="10"/>
        <v>1.5463830488658525</v>
      </c>
      <c r="N35" s="111">
        <f>E35-вересень!E35</f>
        <v>11200</v>
      </c>
      <c r="O35" s="179">
        <f>F35-вересень!F35</f>
        <v>13248.020000000004</v>
      </c>
      <c r="P35" s="112">
        <f t="shared" si="6"/>
        <v>2048.020000000004</v>
      </c>
      <c r="Q35" s="110">
        <f>O35/N35*100</f>
        <v>118.28589285714288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53.08</v>
      </c>
      <c r="G36" s="109">
        <f t="shared" si="0"/>
        <v>36.29</v>
      </c>
      <c r="H36" s="111">
        <f t="shared" si="3"/>
        <v>316.1405598570578</v>
      </c>
      <c r="I36" s="110">
        <f t="shared" si="4"/>
        <v>2.0799999999999983</v>
      </c>
      <c r="J36" s="110">
        <f t="shared" si="5"/>
        <v>104.07843137254902</v>
      </c>
      <c r="K36" s="142">
        <v>28.89</v>
      </c>
      <c r="L36" s="142">
        <f t="shared" si="1"/>
        <v>24.189999999999998</v>
      </c>
      <c r="M36" s="264">
        <f t="shared" si="10"/>
        <v>1.837313949463482</v>
      </c>
      <c r="N36" s="111">
        <f>E36-вересень!E36</f>
        <v>0</v>
      </c>
      <c r="O36" s="179">
        <f>F36-вересень!F36</f>
        <v>26.659999999999997</v>
      </c>
      <c r="P36" s="112">
        <f t="shared" si="6"/>
        <v>26.659999999999997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55017.729999999996</v>
      </c>
      <c r="G38" s="191">
        <f>G39+G40+G41+G42+G43+G45+G47+G48+G49+G50+G51+G56+G57+G61</f>
        <v>-311.2500000000012</v>
      </c>
      <c r="H38" s="192">
        <f>F38/E38*100</f>
        <v>99.49850827461346</v>
      </c>
      <c r="I38" s="193">
        <f>F38-D38</f>
        <v>-6824.750000000007</v>
      </c>
      <c r="J38" s="193">
        <f>F38/D38*100</f>
        <v>88.9643009141936</v>
      </c>
      <c r="K38" s="191">
        <v>35081.67</v>
      </c>
      <c r="L38" s="191">
        <f t="shared" si="1"/>
        <v>19936.059999999998</v>
      </c>
      <c r="M38" s="250">
        <f t="shared" si="10"/>
        <v>1.5682756835692258</v>
      </c>
      <c r="N38" s="191">
        <f>N39+N40+N41+N42+N43+N45+N47+N48+N49+N50+N51+N56+N57+N61+N44</f>
        <v>6170</v>
      </c>
      <c r="O38" s="191">
        <f>O39+O40+O41+O42+O43+O45+O47+O48+O49+O50+O51+O56+O57+O61+O44</f>
        <v>5570.8399999999965</v>
      </c>
      <c r="P38" s="191">
        <f>P39+P40+P41+P42+P43+P45+P47+P48+P49+P50+P51+P56+P57+P61</f>
        <v>-605.960000000003</v>
      </c>
      <c r="Q38" s="191">
        <f>O38/N38*100</f>
        <v>90.28914100486219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484.83</v>
      </c>
      <c r="G39" s="202">
        <f>F39-E39</f>
        <v>98.82999999999998</v>
      </c>
      <c r="H39" s="204">
        <f aca="true" t="shared" si="11" ref="H39:H62">F39/E39*100</f>
        <v>125.60362694300518</v>
      </c>
      <c r="I39" s="205">
        <f>F39-D39</f>
        <v>84.82999999999998</v>
      </c>
      <c r="J39" s="205">
        <f>F39/D39*100</f>
        <v>121.2075</v>
      </c>
      <c r="K39" s="205">
        <v>-57.79</v>
      </c>
      <c r="L39" s="205">
        <f t="shared" si="1"/>
        <v>542.62</v>
      </c>
      <c r="M39" s="266">
        <f t="shared" si="10"/>
        <v>-8.389513756705313</v>
      </c>
      <c r="N39" s="204">
        <f>E39-вересень!E39</f>
        <v>3</v>
      </c>
      <c r="O39" s="208">
        <f>F39-вересень!F39</f>
        <v>63.94999999999999</v>
      </c>
      <c r="P39" s="207">
        <f>O39-N39</f>
        <v>60.94999999999999</v>
      </c>
      <c r="Q39" s="205">
        <f aca="true" t="shared" si="12" ref="Q39:Q62">O39/N39*100</f>
        <v>2131.666666666666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207.68</v>
      </c>
      <c r="G43" s="202">
        <f t="shared" si="13"/>
        <v>107.68</v>
      </c>
      <c r="H43" s="204">
        <f t="shared" si="11"/>
        <v>207.68</v>
      </c>
      <c r="I43" s="205">
        <f t="shared" si="14"/>
        <v>57.68000000000001</v>
      </c>
      <c r="J43" s="205">
        <f t="shared" si="16"/>
        <v>138.45333333333335</v>
      </c>
      <c r="K43" s="205">
        <v>255.87</v>
      </c>
      <c r="L43" s="205">
        <f t="shared" si="1"/>
        <v>-48.19</v>
      </c>
      <c r="M43" s="266">
        <f t="shared" si="17"/>
        <v>0.8116621721968187</v>
      </c>
      <c r="N43" s="204">
        <f>E43-вересень!E43</f>
        <v>10</v>
      </c>
      <c r="O43" s="208">
        <f>F43-вересень!F43</f>
        <v>10.560000000000002</v>
      </c>
      <c r="P43" s="207">
        <f t="shared" si="15"/>
        <v>0.5600000000000023</v>
      </c>
      <c r="Q43" s="205">
        <f t="shared" si="12"/>
        <v>105.60000000000002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47.95</v>
      </c>
      <c r="G44" s="202">
        <f t="shared" si="13"/>
        <v>33.95</v>
      </c>
      <c r="H44" s="204"/>
      <c r="I44" s="205">
        <f t="shared" si="14"/>
        <v>33.95</v>
      </c>
      <c r="J44" s="205"/>
      <c r="K44" s="205">
        <v>0</v>
      </c>
      <c r="L44" s="205">
        <f t="shared" si="1"/>
        <v>47.95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6.800000000000004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531.02</v>
      </c>
      <c r="G45" s="202">
        <f t="shared" si="13"/>
        <v>259.02</v>
      </c>
      <c r="H45" s="204">
        <f t="shared" si="11"/>
        <v>195.22794117647058</v>
      </c>
      <c r="I45" s="205">
        <f t="shared" si="14"/>
        <v>231.01999999999998</v>
      </c>
      <c r="J45" s="205">
        <f t="shared" si="16"/>
        <v>177.00666666666666</v>
      </c>
      <c r="K45" s="205">
        <v>0</v>
      </c>
      <c r="L45" s="205">
        <f t="shared" si="1"/>
        <v>531.02</v>
      </c>
      <c r="M45" s="266"/>
      <c r="N45" s="204">
        <f>E45-вересень!E45</f>
        <v>8</v>
      </c>
      <c r="O45" s="208">
        <f>F45-вересень!F45</f>
        <v>102.38999999999999</v>
      </c>
      <c r="P45" s="207">
        <f t="shared" si="15"/>
        <v>94.38999999999999</v>
      </c>
      <c r="Q45" s="205">
        <f t="shared" si="12"/>
        <v>1279.8749999999998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8876.24</v>
      </c>
      <c r="G47" s="202">
        <f t="shared" si="13"/>
        <v>127.21999999999935</v>
      </c>
      <c r="H47" s="204">
        <f t="shared" si="11"/>
        <v>101.45410571698315</v>
      </c>
      <c r="I47" s="205">
        <f t="shared" si="14"/>
        <v>-1023.7600000000002</v>
      </c>
      <c r="J47" s="205">
        <f t="shared" si="16"/>
        <v>89.65898989898989</v>
      </c>
      <c r="K47" s="205">
        <v>8383.7</v>
      </c>
      <c r="L47" s="205">
        <f t="shared" si="1"/>
        <v>492.53999999999905</v>
      </c>
      <c r="M47" s="266">
        <f t="shared" si="17"/>
        <v>1.0587497167121913</v>
      </c>
      <c r="N47" s="204">
        <f>E47-вересень!E47</f>
        <v>900</v>
      </c>
      <c r="O47" s="208">
        <f>F47-вересень!F47</f>
        <v>808.5</v>
      </c>
      <c r="P47" s="207">
        <f t="shared" si="15"/>
        <v>-91.5</v>
      </c>
      <c r="Q47" s="205">
        <f t="shared" si="12"/>
        <v>89.83333333333333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246.53</v>
      </c>
      <c r="G48" s="202">
        <f t="shared" si="13"/>
        <v>-403.47</v>
      </c>
      <c r="H48" s="204">
        <f t="shared" si="11"/>
        <v>37.927692307692304</v>
      </c>
      <c r="I48" s="205">
        <f t="shared" si="14"/>
        <v>-403.47</v>
      </c>
      <c r="J48" s="205">
        <f t="shared" si="16"/>
        <v>37.927692307692304</v>
      </c>
      <c r="K48" s="205">
        <v>0</v>
      </c>
      <c r="L48" s="205">
        <f t="shared" si="1"/>
        <v>246.53</v>
      </c>
      <c r="M48" s="266"/>
      <c r="N48" s="204">
        <f>E48-вересень!E48</f>
        <v>0</v>
      </c>
      <c r="O48" s="208">
        <f>F48-вересень!F48</f>
        <v>36.41</v>
      </c>
      <c r="P48" s="207">
        <f t="shared" si="15"/>
        <v>36.41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5010.53</v>
      </c>
      <c r="G51" s="202">
        <f t="shared" si="13"/>
        <v>-455.65999999999985</v>
      </c>
      <c r="H51" s="204">
        <f t="shared" si="11"/>
        <v>91.66402924157411</v>
      </c>
      <c r="I51" s="205">
        <f t="shared" si="14"/>
        <v>-1989.5100000000002</v>
      </c>
      <c r="J51" s="205">
        <f t="shared" si="16"/>
        <v>71.57859097948011</v>
      </c>
      <c r="K51" s="205">
        <v>6187.55</v>
      </c>
      <c r="L51" s="205">
        <f t="shared" si="1"/>
        <v>-1177.0200000000004</v>
      </c>
      <c r="M51" s="266">
        <f t="shared" si="17"/>
        <v>0.8097760826175141</v>
      </c>
      <c r="N51" s="204">
        <f>E51-вересень!E51</f>
        <v>555</v>
      </c>
      <c r="O51" s="208">
        <f>F51-вересень!F51</f>
        <v>84.90999999999985</v>
      </c>
      <c r="P51" s="207">
        <f t="shared" si="15"/>
        <v>-470.09000000000015</v>
      </c>
      <c r="Q51" s="205">
        <f t="shared" si="12"/>
        <v>15.299099099099072</v>
      </c>
      <c r="R51" s="42"/>
      <c r="S51" s="100"/>
      <c r="T51" s="186">
        <f t="shared" si="8"/>
        <v>1533.8500000000004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702.3</v>
      </c>
      <c r="G52" s="36">
        <f t="shared" si="13"/>
        <v>-36.690000000000055</v>
      </c>
      <c r="H52" s="32">
        <f t="shared" si="11"/>
        <v>95.03511549547355</v>
      </c>
      <c r="I52" s="110">
        <f t="shared" si="14"/>
        <v>-267.70000000000005</v>
      </c>
      <c r="J52" s="110">
        <f t="shared" si="16"/>
        <v>72.4020618556701</v>
      </c>
      <c r="K52" s="110">
        <v>883.77</v>
      </c>
      <c r="L52" s="110">
        <f>F52-K52</f>
        <v>-181.47000000000003</v>
      </c>
      <c r="M52" s="115">
        <f t="shared" si="17"/>
        <v>0.7946637699854034</v>
      </c>
      <c r="N52" s="111">
        <f>E52-вересень!E52</f>
        <v>55</v>
      </c>
      <c r="O52" s="179">
        <f>F52-вересень!F52</f>
        <v>59.18999999999994</v>
      </c>
      <c r="P52" s="112">
        <f t="shared" si="15"/>
        <v>4.189999999999941</v>
      </c>
      <c r="Q52" s="132">
        <f t="shared" si="12"/>
        <v>107.6181818181817</v>
      </c>
      <c r="R52" s="42"/>
      <c r="S52" s="100"/>
      <c r="T52" s="186">
        <f t="shared" si="8"/>
        <v>231.01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4307.92</v>
      </c>
      <c r="G55" s="36">
        <f t="shared" si="13"/>
        <v>-414.25</v>
      </c>
      <c r="H55" s="32">
        <f t="shared" si="11"/>
        <v>91.22755004584756</v>
      </c>
      <c r="I55" s="110">
        <f t="shared" si="14"/>
        <v>-1716.08</v>
      </c>
      <c r="J55" s="110">
        <f t="shared" si="16"/>
        <v>71.51261620185923</v>
      </c>
      <c r="K55" s="110">
        <v>5258.92</v>
      </c>
      <c r="L55" s="110">
        <f>F55-K55</f>
        <v>-951</v>
      </c>
      <c r="M55" s="115">
        <f t="shared" si="17"/>
        <v>0.8191643911677683</v>
      </c>
      <c r="N55" s="111">
        <f>E55-вересень!E55</f>
        <v>500</v>
      </c>
      <c r="O55" s="179">
        <f>F55-вересень!F55</f>
        <v>25.699999999999818</v>
      </c>
      <c r="P55" s="112">
        <f t="shared" si="15"/>
        <v>-474.3000000000002</v>
      </c>
      <c r="Q55" s="132">
        <f t="shared" si="12"/>
        <v>5.139999999999963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5538.46</v>
      </c>
      <c r="G57" s="202">
        <f t="shared" si="13"/>
        <v>460.4800000000005</v>
      </c>
      <c r="H57" s="204">
        <f t="shared" si="11"/>
        <v>109.06817277736425</v>
      </c>
      <c r="I57" s="205">
        <f t="shared" si="14"/>
        <v>388.46000000000004</v>
      </c>
      <c r="J57" s="205">
        <f t="shared" si="16"/>
        <v>107.54291262135922</v>
      </c>
      <c r="K57" s="205">
        <v>4010.85</v>
      </c>
      <c r="L57" s="205">
        <f aca="true" t="shared" si="18" ref="L57:L63">F57-K57</f>
        <v>1527.6100000000001</v>
      </c>
      <c r="M57" s="266">
        <f t="shared" si="17"/>
        <v>1.380869391774811</v>
      </c>
      <c r="N57" s="204">
        <f>E57-вересень!E57</f>
        <v>440</v>
      </c>
      <c r="O57" s="208">
        <f>F57-вересень!F57</f>
        <v>384.3299999999999</v>
      </c>
      <c r="P57" s="207">
        <f t="shared" si="15"/>
        <v>-55.67000000000007</v>
      </c>
      <c r="Q57" s="205">
        <f t="shared" si="12"/>
        <v>87.34772727272725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1136.87</v>
      </c>
      <c r="G59" s="202"/>
      <c r="H59" s="204"/>
      <c r="I59" s="205"/>
      <c r="J59" s="205"/>
      <c r="K59" s="206">
        <v>1044.28</v>
      </c>
      <c r="L59" s="205">
        <f t="shared" si="18"/>
        <v>92.58999999999992</v>
      </c>
      <c r="M59" s="266">
        <f t="shared" si="17"/>
        <v>1.0886639598575094</v>
      </c>
      <c r="N59" s="204"/>
      <c r="O59" s="220">
        <f>F59-вересень!F59</f>
        <v>134.51999999999987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852651.03</v>
      </c>
      <c r="G64" s="191">
        <f>F64-E64</f>
        <v>1658.4700000000885</v>
      </c>
      <c r="H64" s="192">
        <f>F64/E64*100</f>
        <v>100.19488654518909</v>
      </c>
      <c r="I64" s="193">
        <f>F64-D64</f>
        <v>-166293.70000000007</v>
      </c>
      <c r="J64" s="193">
        <f>F64/D64*100</f>
        <v>83.679811563479</v>
      </c>
      <c r="K64" s="193">
        <v>577689.14</v>
      </c>
      <c r="L64" s="193">
        <f>F64-K64</f>
        <v>274961.89</v>
      </c>
      <c r="M64" s="267">
        <f>F64/K64</f>
        <v>1.4759685979210202</v>
      </c>
      <c r="N64" s="191">
        <f>N8+N38+N62+N63</f>
        <v>95997.42</v>
      </c>
      <c r="O64" s="191">
        <f>O8+O38+O62+O63</f>
        <v>95150.93000000001</v>
      </c>
      <c r="P64" s="195">
        <f>O64-N64</f>
        <v>-846.4899999999907</v>
      </c>
      <c r="Q64" s="193">
        <f>O64/N64*100</f>
        <v>99.11821588538527</v>
      </c>
      <c r="R64" s="28">
        <f>O64-34768</f>
        <v>60382.93000000001</v>
      </c>
      <c r="S64" s="128">
        <f>O64/34768</f>
        <v>2.7367386677404513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-54.75</v>
      </c>
      <c r="L70" s="207">
        <f>F70-K70</f>
        <v>44.56</v>
      </c>
      <c r="M70" s="254">
        <f>F70/K70</f>
        <v>0.18611872146118721</v>
      </c>
      <c r="N70" s="204"/>
      <c r="O70" s="223">
        <f>F70-вересень!F70</f>
        <v>-6.359999999999999</v>
      </c>
      <c r="P70" s="207">
        <f>O70-N70</f>
        <v>-6.359999999999999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</v>
      </c>
      <c r="L71" s="228">
        <f>F71-K71</f>
        <v>41.52</v>
      </c>
      <c r="M71" s="260">
        <f>F71/K71</f>
        <v>0.19690522243713732</v>
      </c>
      <c r="N71" s="226">
        <f>N70</f>
        <v>0</v>
      </c>
      <c r="O71" s="229">
        <f>SUM(O69:O70)</f>
        <v>-6.359999999999999</v>
      </c>
      <c r="P71" s="228">
        <f>O71-N71</f>
        <v>-6.359999999999999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2700</v>
      </c>
      <c r="F73" s="222">
        <v>2052.2</v>
      </c>
      <c r="G73" s="202">
        <f aca="true" t="shared" si="19" ref="G73:G83">F73-E73</f>
        <v>-647.8000000000002</v>
      </c>
      <c r="H73" s="204"/>
      <c r="I73" s="207">
        <f aca="true" t="shared" si="20" ref="I73:I83">F73-D73</f>
        <v>-13147.8</v>
      </c>
      <c r="J73" s="207">
        <f>F73/D73*100</f>
        <v>13.501315789473683</v>
      </c>
      <c r="K73" s="207">
        <v>593.13</v>
      </c>
      <c r="L73" s="207">
        <f aca="true" t="shared" si="21" ref="L73:L83">F73-K73</f>
        <v>1459.0699999999997</v>
      </c>
      <c r="M73" s="254">
        <f>F73/K73</f>
        <v>3.459949758063156</v>
      </c>
      <c r="N73" s="204">
        <f>E73-вересень!E73</f>
        <v>0</v>
      </c>
      <c r="O73" s="208">
        <f>F73-вересень!F73</f>
        <v>498.2499999999998</v>
      </c>
      <c r="P73" s="207">
        <f aca="true" t="shared" si="22" ref="P73:P86">O73-N73</f>
        <v>498.2499999999998</v>
      </c>
      <c r="Q73" s="207" t="e">
        <f>O73/N73*100</f>
        <v>#DIV/0!</v>
      </c>
      <c r="R73" s="43"/>
      <c r="S73" s="103"/>
      <c r="T73" s="186">
        <f t="shared" si="8"/>
        <v>12500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v>5152.91</v>
      </c>
      <c r="F74" s="222">
        <v>7241.5</v>
      </c>
      <c r="G74" s="202">
        <f t="shared" si="19"/>
        <v>2088.59</v>
      </c>
      <c r="H74" s="204">
        <f>F74/E74*100</f>
        <v>140.53224294621873</v>
      </c>
      <c r="I74" s="207">
        <f t="shared" si="20"/>
        <v>-9917.5</v>
      </c>
      <c r="J74" s="207">
        <f>F74/D74*100</f>
        <v>42.20234279386911</v>
      </c>
      <c r="K74" s="207">
        <v>7212.08</v>
      </c>
      <c r="L74" s="207">
        <f t="shared" si="21"/>
        <v>29.420000000000073</v>
      </c>
      <c r="M74" s="254">
        <f>F74/K74</f>
        <v>1.0040792670075762</v>
      </c>
      <c r="N74" s="204">
        <f>E74-вересень!E74</f>
        <v>460.6999999999998</v>
      </c>
      <c r="O74" s="208">
        <f>F74-вересень!F74</f>
        <v>338.0500000000002</v>
      </c>
      <c r="P74" s="207">
        <f t="shared" si="22"/>
        <v>-122.64999999999964</v>
      </c>
      <c r="Q74" s="207">
        <f>O74/N74*100</f>
        <v>73.3774690688084</v>
      </c>
      <c r="R74" s="43"/>
      <c r="S74" s="103"/>
      <c r="T74" s="186">
        <f aca="true" t="shared" si="23" ref="T74:T90">D74-E74</f>
        <v>12006.09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v>3000.85</v>
      </c>
      <c r="F75" s="222">
        <v>12246.75</v>
      </c>
      <c r="G75" s="202">
        <f t="shared" si="19"/>
        <v>9245.9</v>
      </c>
      <c r="H75" s="204">
        <f>F75/E75*100</f>
        <v>408.1093690121133</v>
      </c>
      <c r="I75" s="207">
        <f t="shared" si="20"/>
        <v>-3753.25</v>
      </c>
      <c r="J75" s="207">
        <f>F75/D75*100</f>
        <v>76.5421875</v>
      </c>
      <c r="K75" s="207">
        <v>2063.43</v>
      </c>
      <c r="L75" s="207">
        <f t="shared" si="21"/>
        <v>10183.32</v>
      </c>
      <c r="M75" s="254">
        <f>F75/K75</f>
        <v>5.935141972347015</v>
      </c>
      <c r="N75" s="204">
        <f>E75-вересень!E75</f>
        <v>302</v>
      </c>
      <c r="O75" s="208">
        <f>F75-вересень!F75</f>
        <v>130.32999999999993</v>
      </c>
      <c r="P75" s="207">
        <f t="shared" si="22"/>
        <v>-171.67000000000007</v>
      </c>
      <c r="Q75" s="207">
        <f>O75/N75*100</f>
        <v>43.15562913907282</v>
      </c>
      <c r="R75" s="43"/>
      <c r="S75" s="103"/>
      <c r="T75" s="186">
        <f t="shared" si="23"/>
        <v>12999.15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10863.76</v>
      </c>
      <c r="F77" s="225">
        <f>F73+F74+F75+F76</f>
        <v>21551.45</v>
      </c>
      <c r="G77" s="226">
        <f t="shared" si="19"/>
        <v>10687.69</v>
      </c>
      <c r="H77" s="227">
        <f>F77/E77*100</f>
        <v>198.37929041142291</v>
      </c>
      <c r="I77" s="228">
        <f t="shared" si="20"/>
        <v>-26819.55</v>
      </c>
      <c r="J77" s="228">
        <f>F77/D77*100</f>
        <v>44.55448512538504</v>
      </c>
      <c r="K77" s="228">
        <v>6439.8</v>
      </c>
      <c r="L77" s="228">
        <f t="shared" si="21"/>
        <v>15111.650000000001</v>
      </c>
      <c r="M77" s="260">
        <f>F77/K77</f>
        <v>3.3466023789558683</v>
      </c>
      <c r="N77" s="226">
        <f>N73+N74+N75+N76</f>
        <v>763.6999999999998</v>
      </c>
      <c r="O77" s="230">
        <f>O73+O74+O75+O76</f>
        <v>967.6299999999999</v>
      </c>
      <c r="P77" s="228">
        <f t="shared" si="22"/>
        <v>203.93000000000006</v>
      </c>
      <c r="Q77" s="228">
        <f>O77/N77*100</f>
        <v>126.70289380646852</v>
      </c>
      <c r="R77" s="44"/>
      <c r="S77" s="129"/>
      <c r="T77" s="186">
        <f t="shared" si="23"/>
        <v>37507.24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35.95</v>
      </c>
      <c r="G78" s="202">
        <f t="shared" si="19"/>
        <v>35.95</v>
      </c>
      <c r="H78" s="204"/>
      <c r="I78" s="207">
        <f t="shared" si="20"/>
        <v>34.95</v>
      </c>
      <c r="J78" s="207"/>
      <c r="K78" s="207">
        <v>0.35</v>
      </c>
      <c r="L78" s="207">
        <f t="shared" si="21"/>
        <v>35.6</v>
      </c>
      <c r="M78" s="254">
        <f>F78/K78</f>
        <v>102.71428571428572</v>
      </c>
      <c r="N78" s="204">
        <f>E78-вересень!E78</f>
        <v>0</v>
      </c>
      <c r="O78" s="208">
        <f>F78-вересень!F78</f>
        <v>0.1700000000000017</v>
      </c>
      <c r="P78" s="207">
        <f t="shared" si="22"/>
        <v>0.1700000000000017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6836.07</v>
      </c>
      <c r="G80" s="202">
        <f t="shared" si="19"/>
        <v>-789.2300000000005</v>
      </c>
      <c r="H80" s="204">
        <f>F80/E80*100</f>
        <v>89.64984984197343</v>
      </c>
      <c r="I80" s="207">
        <f t="shared" si="20"/>
        <v>-2663.9300000000003</v>
      </c>
      <c r="J80" s="207">
        <f>F80/D80*100</f>
        <v>71.95863157894736</v>
      </c>
      <c r="K80" s="207">
        <v>0</v>
      </c>
      <c r="L80" s="207">
        <f t="shared" si="21"/>
        <v>6836.07</v>
      </c>
      <c r="M80" s="254"/>
      <c r="N80" s="204">
        <f>E80-вересень!E80</f>
        <v>1.300000000000182</v>
      </c>
      <c r="O80" s="208">
        <f>F80-вересень!F80</f>
        <v>10.399999999999636</v>
      </c>
      <c r="P80" s="207">
        <f>O80-N80</f>
        <v>9.099999999999454</v>
      </c>
      <c r="Q80" s="231">
        <f>O80/N80*100</f>
        <v>799.9999999998602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1.14</v>
      </c>
      <c r="L81" s="207">
        <f t="shared" si="21"/>
        <v>0.20000000000000018</v>
      </c>
      <c r="M81" s="254">
        <f>F81/K81</f>
        <v>1.1754385964912282</v>
      </c>
      <c r="N81" s="204">
        <f>E81-вересень!E81</f>
        <v>0</v>
      </c>
      <c r="O81" s="208">
        <f>F81-вересень!F81</f>
        <v>0.1200000000000001</v>
      </c>
      <c r="P81" s="207">
        <f t="shared" si="22"/>
        <v>0.1200000000000001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6873.36</v>
      </c>
      <c r="G82" s="224">
        <f>G78+G81+G79+G80</f>
        <v>-751.9400000000005</v>
      </c>
      <c r="H82" s="227">
        <f>F82/E82*100</f>
        <v>90.13887978177907</v>
      </c>
      <c r="I82" s="228">
        <f t="shared" si="20"/>
        <v>-2627.6400000000003</v>
      </c>
      <c r="J82" s="228">
        <f>F82/D82*100</f>
        <v>72.34354278497001</v>
      </c>
      <c r="K82" s="228">
        <v>1.35</v>
      </c>
      <c r="L82" s="228">
        <f t="shared" si="21"/>
        <v>6872.009999999999</v>
      </c>
      <c r="M82" s="268">
        <f>F82/K82</f>
        <v>5091.377777777777</v>
      </c>
      <c r="N82" s="226">
        <f>N78+N81+N79+N80</f>
        <v>1.300000000000182</v>
      </c>
      <c r="O82" s="230">
        <f>O78+O81+O79+O80</f>
        <v>10.689999999999639</v>
      </c>
      <c r="P82" s="226">
        <f>P78+P81+P79+P80</f>
        <v>9.389999999999457</v>
      </c>
      <c r="Q82" s="228">
        <f>O82/N82*100</f>
        <v>822.3076923075494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27.47</v>
      </c>
      <c r="G83" s="202">
        <f t="shared" si="19"/>
        <v>-2.3000000000000007</v>
      </c>
      <c r="H83" s="204">
        <f>F83/E83*100</f>
        <v>92.27410144440712</v>
      </c>
      <c r="I83" s="207">
        <f t="shared" si="20"/>
        <v>-15.530000000000001</v>
      </c>
      <c r="J83" s="207">
        <f>F83/D83*100</f>
        <v>63.883720930232556</v>
      </c>
      <c r="K83" s="207">
        <v>30.02</v>
      </c>
      <c r="L83" s="207">
        <f t="shared" si="21"/>
        <v>-2.5500000000000007</v>
      </c>
      <c r="M83" s="254">
        <f>F83/K83</f>
        <v>0.9150566289140573</v>
      </c>
      <c r="N83" s="204">
        <f>E83-вересень!E83</f>
        <v>0.8000000000000007</v>
      </c>
      <c r="O83" s="208">
        <f>F83-вересень!F83</f>
        <v>0.5999999999999979</v>
      </c>
      <c r="P83" s="207">
        <f t="shared" si="22"/>
        <v>-0.20000000000000284</v>
      </c>
      <c r="Q83" s="207">
        <f>O83/N83</f>
        <v>0.7499999999999967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18518.83</v>
      </c>
      <c r="F85" s="232">
        <f>F71+F83+F77+F82+F84</f>
        <v>28442.100000000002</v>
      </c>
      <c r="G85" s="233">
        <f>F85-E85</f>
        <v>9923.27</v>
      </c>
      <c r="H85" s="234">
        <f>F85/E85*100</f>
        <v>153.58475670439222</v>
      </c>
      <c r="I85" s="235">
        <f>F85-D85</f>
        <v>-29472.899999999998</v>
      </c>
      <c r="J85" s="235">
        <f>F85/D85*100</f>
        <v>49.110075110075115</v>
      </c>
      <c r="K85" s="235">
        <v>9845.6</v>
      </c>
      <c r="L85" s="235">
        <f>F85-K85</f>
        <v>18596.5</v>
      </c>
      <c r="M85" s="269">
        <f>F85/K85</f>
        <v>2.888813276996831</v>
      </c>
      <c r="N85" s="232">
        <f>N71+N83+N77+N82</f>
        <v>765.8</v>
      </c>
      <c r="O85" s="232">
        <f>O71+O83+O77+O82+O84</f>
        <v>972.5599999999995</v>
      </c>
      <c r="P85" s="235">
        <f t="shared" si="22"/>
        <v>206.75999999999954</v>
      </c>
      <c r="Q85" s="235">
        <f>O85/N85*100</f>
        <v>126.99921650561498</v>
      </c>
      <c r="R85" s="28">
        <f>O85-8104.96</f>
        <v>-7132.400000000001</v>
      </c>
      <c r="S85" s="101">
        <f>O85/8104.96</f>
        <v>0.11999565698041686</v>
      </c>
      <c r="T85" s="186">
        <f t="shared" si="23"/>
        <v>39396.17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869511.3899999999</v>
      </c>
      <c r="F86" s="232">
        <f>F64+F85</f>
        <v>881093.13</v>
      </c>
      <c r="G86" s="233">
        <f>F86-E86</f>
        <v>11581.740000000107</v>
      </c>
      <c r="H86" s="234">
        <f>F86/E86*100</f>
        <v>101.33198255171794</v>
      </c>
      <c r="I86" s="235">
        <f>F86-D86</f>
        <v>-195766.59999999998</v>
      </c>
      <c r="J86" s="235">
        <f>F86/D86*100</f>
        <v>81.82060350608523</v>
      </c>
      <c r="K86" s="235">
        <f>K64+K85</f>
        <v>587534.74</v>
      </c>
      <c r="L86" s="235">
        <f>F86-K86</f>
        <v>293558.39</v>
      </c>
      <c r="M86" s="269">
        <f>F86/K86</f>
        <v>1.4996443103943096</v>
      </c>
      <c r="N86" s="233">
        <f>N64+N85</f>
        <v>96763.22</v>
      </c>
      <c r="O86" s="233">
        <f>O64+O85</f>
        <v>96123.49</v>
      </c>
      <c r="P86" s="235">
        <f t="shared" si="22"/>
        <v>-639.7299999999959</v>
      </c>
      <c r="Q86" s="235">
        <f>O86/N86*100</f>
        <v>99.33887069901147</v>
      </c>
      <c r="R86" s="28">
        <f>O86-42872.96</f>
        <v>53250.530000000006</v>
      </c>
      <c r="S86" s="101">
        <f>O86/42872.96</f>
        <v>2.242053965949634</v>
      </c>
      <c r="T86" s="186">
        <f t="shared" si="23"/>
        <v>207348.34000000008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0"/>
      <c r="H89" s="430"/>
      <c r="I89" s="430"/>
      <c r="J89" s="430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42674</v>
      </c>
      <c r="D90" s="31">
        <v>6669</v>
      </c>
      <c r="G90" s="4" t="s">
        <v>59</v>
      </c>
      <c r="O90" s="422"/>
      <c r="P90" s="422"/>
      <c r="T90" s="186">
        <f t="shared" si="23"/>
        <v>6669</v>
      </c>
    </row>
    <row r="91" spans="3:16" ht="15">
      <c r="C91" s="87">
        <v>42671</v>
      </c>
      <c r="D91" s="31">
        <v>15898.1</v>
      </c>
      <c r="F91" s="124" t="s">
        <v>59</v>
      </c>
      <c r="G91" s="416"/>
      <c r="H91" s="416"/>
      <c r="I91" s="131"/>
      <c r="J91" s="419"/>
      <c r="K91" s="419"/>
      <c r="L91" s="419"/>
      <c r="M91" s="419"/>
      <c r="N91" s="419"/>
      <c r="O91" s="422"/>
      <c r="P91" s="422"/>
    </row>
    <row r="92" spans="3:16" ht="15.75" customHeight="1">
      <c r="C92" s="87">
        <v>42670</v>
      </c>
      <c r="D92" s="31">
        <v>7999.8</v>
      </c>
      <c r="F92" s="73"/>
      <c r="G92" s="416"/>
      <c r="H92" s="416"/>
      <c r="I92" s="131"/>
      <c r="J92" s="423"/>
      <c r="K92" s="423"/>
      <c r="L92" s="423"/>
      <c r="M92" s="423"/>
      <c r="N92" s="423"/>
      <c r="O92" s="422"/>
      <c r="P92" s="422"/>
    </row>
    <row r="93" spans="3:14" ht="15.75" customHeight="1">
      <c r="C93" s="87"/>
      <c r="F93" s="73"/>
      <c r="G93" s="418"/>
      <c r="H93" s="418"/>
      <c r="I93" s="139"/>
      <c r="J93" s="419"/>
      <c r="K93" s="419"/>
      <c r="L93" s="419"/>
      <c r="M93" s="419"/>
      <c r="N93" s="419"/>
    </row>
    <row r="94" spans="2:14" ht="18.75" customHeight="1">
      <c r="B94" s="420" t="s">
        <v>57</v>
      </c>
      <c r="C94" s="421"/>
      <c r="D94" s="148">
        <v>12068.543380000001</v>
      </c>
      <c r="E94" s="74"/>
      <c r="F94" s="140" t="s">
        <v>137</v>
      </c>
      <c r="G94" s="416"/>
      <c r="H94" s="416"/>
      <c r="I94" s="141"/>
      <c r="J94" s="419"/>
      <c r="K94" s="419"/>
      <c r="L94" s="419"/>
      <c r="M94" s="419"/>
      <c r="N94" s="419"/>
    </row>
    <row r="95" spans="6:13" ht="9.75" customHeight="1">
      <c r="F95" s="73"/>
      <c r="G95" s="416"/>
      <c r="H95" s="416"/>
      <c r="I95" s="73"/>
      <c r="J95" s="74"/>
      <c r="K95" s="74"/>
      <c r="L95" s="74"/>
      <c r="M95" s="74"/>
    </row>
    <row r="96" spans="2:13" ht="22.5" customHeight="1" hidden="1">
      <c r="B96" s="414" t="s">
        <v>60</v>
      </c>
      <c r="C96" s="415"/>
      <c r="D96" s="86">
        <v>0</v>
      </c>
      <c r="E96" s="56" t="s">
        <v>24</v>
      </c>
      <c r="F96" s="73"/>
      <c r="G96" s="416"/>
      <c r="H96" s="416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958</v>
      </c>
      <c r="F97" s="247">
        <f>F45+F48+F49</f>
        <v>794.51</v>
      </c>
      <c r="G97" s="73">
        <f>G45+G48+G49</f>
        <v>-163.49000000000004</v>
      </c>
      <c r="H97" s="74"/>
      <c r="I97" s="74"/>
      <c r="N97" s="31">
        <f>N45+N48+N49</f>
        <v>12</v>
      </c>
      <c r="O97" s="246">
        <f>O45+O48+O49</f>
        <v>139.07999999999998</v>
      </c>
      <c r="P97" s="31">
        <f>P45+P48+P49</f>
        <v>127.07999999999998</v>
      </c>
    </row>
    <row r="98" spans="4:16" ht="15">
      <c r="D98" s="83"/>
      <c r="I98" s="31"/>
      <c r="O98" s="417"/>
      <c r="P98" s="417"/>
    </row>
    <row r="99" spans="15:16" ht="15">
      <c r="O99" s="416"/>
      <c r="P99" s="416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3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51" sqref="A51:IV5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9.125" style="4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37" t="s">
        <v>206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92"/>
      <c r="S1" s="93"/>
    </row>
    <row r="2" spans="2:19" s="1" customFormat="1" ht="15.75" customHeight="1">
      <c r="B2" s="438"/>
      <c r="C2" s="438"/>
      <c r="D2" s="438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9"/>
      <c r="B3" s="441"/>
      <c r="C3" s="442" t="s">
        <v>0</v>
      </c>
      <c r="D3" s="443" t="s">
        <v>121</v>
      </c>
      <c r="E3" s="34"/>
      <c r="F3" s="444" t="s">
        <v>26</v>
      </c>
      <c r="G3" s="445"/>
      <c r="H3" s="445"/>
      <c r="I3" s="445"/>
      <c r="J3" s="446"/>
      <c r="K3" s="89"/>
      <c r="L3" s="89"/>
      <c r="M3" s="89"/>
      <c r="N3" s="447" t="s">
        <v>201</v>
      </c>
      <c r="O3" s="448" t="s">
        <v>202</v>
      </c>
      <c r="P3" s="448"/>
      <c r="Q3" s="448"/>
      <c r="R3" s="448"/>
      <c r="S3" s="448"/>
    </row>
    <row r="4" spans="1:19" ht="22.5" customHeight="1">
      <c r="A4" s="439"/>
      <c r="B4" s="441"/>
      <c r="C4" s="442"/>
      <c r="D4" s="443"/>
      <c r="E4" s="449" t="s">
        <v>198</v>
      </c>
      <c r="F4" s="431" t="s">
        <v>34</v>
      </c>
      <c r="G4" s="424" t="s">
        <v>199</v>
      </c>
      <c r="H4" s="433" t="s">
        <v>200</v>
      </c>
      <c r="I4" s="424" t="s">
        <v>122</v>
      </c>
      <c r="J4" s="433" t="s">
        <v>123</v>
      </c>
      <c r="K4" s="91" t="s">
        <v>186</v>
      </c>
      <c r="L4" s="249" t="s">
        <v>185</v>
      </c>
      <c r="M4" s="96" t="s">
        <v>64</v>
      </c>
      <c r="N4" s="433"/>
      <c r="O4" s="435" t="s">
        <v>207</v>
      </c>
      <c r="P4" s="424" t="s">
        <v>50</v>
      </c>
      <c r="Q4" s="426" t="s">
        <v>49</v>
      </c>
      <c r="R4" s="97" t="s">
        <v>65</v>
      </c>
      <c r="S4" s="98" t="s">
        <v>64</v>
      </c>
    </row>
    <row r="5" spans="1:19" ht="67.5" customHeight="1">
      <c r="A5" s="440"/>
      <c r="B5" s="441"/>
      <c r="C5" s="442"/>
      <c r="D5" s="443"/>
      <c r="E5" s="450"/>
      <c r="F5" s="432"/>
      <c r="G5" s="425"/>
      <c r="H5" s="434"/>
      <c r="I5" s="425"/>
      <c r="J5" s="434"/>
      <c r="K5" s="427" t="s">
        <v>203</v>
      </c>
      <c r="L5" s="428"/>
      <c r="M5" s="429"/>
      <c r="N5" s="434"/>
      <c r="O5" s="436"/>
      <c r="P5" s="425"/>
      <c r="Q5" s="426"/>
      <c r="R5" s="427" t="s">
        <v>120</v>
      </c>
      <c r="S5" s="429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0"/>
      <c r="H89" s="430"/>
      <c r="I89" s="430"/>
      <c r="J89" s="430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22"/>
      <c r="P90" s="422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16"/>
      <c r="H91" s="416"/>
      <c r="I91" s="131"/>
      <c r="J91" s="419"/>
      <c r="K91" s="419"/>
      <c r="L91" s="419"/>
      <c r="M91" s="419"/>
      <c r="N91" s="419"/>
      <c r="O91" s="422"/>
      <c r="P91" s="422"/>
    </row>
    <row r="92" spans="3:16" ht="15.75" customHeight="1">
      <c r="C92" s="87">
        <v>42641</v>
      </c>
      <c r="D92" s="31">
        <v>6835.7</v>
      </c>
      <c r="F92" s="73"/>
      <c r="G92" s="416"/>
      <c r="H92" s="416"/>
      <c r="I92" s="131"/>
      <c r="J92" s="423"/>
      <c r="K92" s="423"/>
      <c r="L92" s="423"/>
      <c r="M92" s="423"/>
      <c r="N92" s="423"/>
      <c r="O92" s="422"/>
      <c r="P92" s="422"/>
    </row>
    <row r="93" spans="3:14" ht="15.75" customHeight="1">
      <c r="C93" s="87"/>
      <c r="F93" s="73"/>
      <c r="G93" s="418"/>
      <c r="H93" s="418"/>
      <c r="I93" s="139"/>
      <c r="J93" s="419"/>
      <c r="K93" s="419"/>
      <c r="L93" s="419"/>
      <c r="M93" s="419"/>
      <c r="N93" s="419"/>
    </row>
    <row r="94" spans="2:14" ht="18.75" customHeight="1">
      <c r="B94" s="420" t="s">
        <v>57</v>
      </c>
      <c r="C94" s="421"/>
      <c r="D94" s="148">
        <v>10150.57106</v>
      </c>
      <c r="E94" s="74"/>
      <c r="F94" s="140" t="s">
        <v>137</v>
      </c>
      <c r="G94" s="416"/>
      <c r="H94" s="416"/>
      <c r="I94" s="141"/>
      <c r="J94" s="419"/>
      <c r="K94" s="419"/>
      <c r="L94" s="419"/>
      <c r="M94" s="419"/>
      <c r="N94" s="419"/>
    </row>
    <row r="95" spans="6:13" ht="9.75" customHeight="1">
      <c r="F95" s="73"/>
      <c r="G95" s="416"/>
      <c r="H95" s="416"/>
      <c r="I95" s="73"/>
      <c r="J95" s="74"/>
      <c r="K95" s="74"/>
      <c r="L95" s="74"/>
      <c r="M95" s="74"/>
    </row>
    <row r="96" spans="2:13" ht="22.5" customHeight="1">
      <c r="B96" s="414" t="s">
        <v>60</v>
      </c>
      <c r="C96" s="415"/>
      <c r="D96" s="86">
        <v>0</v>
      </c>
      <c r="E96" s="56" t="s">
        <v>24</v>
      </c>
      <c r="F96" s="73"/>
      <c r="G96" s="416"/>
      <c r="H96" s="416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17"/>
      <c r="P98" s="417"/>
    </row>
    <row r="99" spans="15:16" ht="15">
      <c r="O99" s="416"/>
      <c r="P99" s="416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7" t="s">
        <v>196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92"/>
      <c r="S1" s="93"/>
    </row>
    <row r="2" spans="2:19" s="1" customFormat="1" ht="15.75" customHeight="1">
      <c r="B2" s="438"/>
      <c r="C2" s="438"/>
      <c r="D2" s="438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9"/>
      <c r="B3" s="441"/>
      <c r="C3" s="442" t="s">
        <v>0</v>
      </c>
      <c r="D3" s="443" t="s">
        <v>121</v>
      </c>
      <c r="E3" s="34"/>
      <c r="F3" s="444" t="s">
        <v>26</v>
      </c>
      <c r="G3" s="445"/>
      <c r="H3" s="445"/>
      <c r="I3" s="445"/>
      <c r="J3" s="446"/>
      <c r="K3" s="89"/>
      <c r="L3" s="89"/>
      <c r="M3" s="89"/>
      <c r="N3" s="447" t="s">
        <v>193</v>
      </c>
      <c r="O3" s="448" t="s">
        <v>194</v>
      </c>
      <c r="P3" s="448"/>
      <c r="Q3" s="448"/>
      <c r="R3" s="448"/>
      <c r="S3" s="448"/>
    </row>
    <row r="4" spans="1:19" ht="22.5" customHeight="1">
      <c r="A4" s="439"/>
      <c r="B4" s="441"/>
      <c r="C4" s="442"/>
      <c r="D4" s="443"/>
      <c r="E4" s="449" t="s">
        <v>190</v>
      </c>
      <c r="F4" s="431" t="s">
        <v>34</v>
      </c>
      <c r="G4" s="424" t="s">
        <v>191</v>
      </c>
      <c r="H4" s="433" t="s">
        <v>192</v>
      </c>
      <c r="I4" s="424" t="s">
        <v>122</v>
      </c>
      <c r="J4" s="433" t="s">
        <v>123</v>
      </c>
      <c r="K4" s="91" t="s">
        <v>186</v>
      </c>
      <c r="L4" s="249" t="s">
        <v>185</v>
      </c>
      <c r="M4" s="96" t="s">
        <v>64</v>
      </c>
      <c r="N4" s="433"/>
      <c r="O4" s="435" t="s">
        <v>197</v>
      </c>
      <c r="P4" s="424" t="s">
        <v>50</v>
      </c>
      <c r="Q4" s="426" t="s">
        <v>49</v>
      </c>
      <c r="R4" s="97" t="s">
        <v>65</v>
      </c>
      <c r="S4" s="98" t="s">
        <v>64</v>
      </c>
    </row>
    <row r="5" spans="1:19" ht="67.5" customHeight="1">
      <c r="A5" s="440"/>
      <c r="B5" s="441"/>
      <c r="C5" s="442"/>
      <c r="D5" s="443"/>
      <c r="E5" s="450"/>
      <c r="F5" s="432"/>
      <c r="G5" s="425"/>
      <c r="H5" s="434"/>
      <c r="I5" s="425"/>
      <c r="J5" s="434"/>
      <c r="K5" s="427" t="s">
        <v>195</v>
      </c>
      <c r="L5" s="428"/>
      <c r="M5" s="429"/>
      <c r="N5" s="434"/>
      <c r="O5" s="436"/>
      <c r="P5" s="425"/>
      <c r="Q5" s="426"/>
      <c r="R5" s="427" t="s">
        <v>120</v>
      </c>
      <c r="S5" s="429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0"/>
      <c r="H89" s="430"/>
      <c r="I89" s="430"/>
      <c r="J89" s="430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2"/>
      <c r="P90" s="422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6"/>
      <c r="H91" s="416"/>
      <c r="I91" s="131"/>
      <c r="J91" s="419"/>
      <c r="K91" s="419"/>
      <c r="L91" s="419"/>
      <c r="M91" s="419"/>
      <c r="N91" s="419"/>
      <c r="O91" s="422"/>
      <c r="P91" s="422"/>
    </row>
    <row r="92" spans="3:16" ht="15.75" customHeight="1">
      <c r="C92" s="87">
        <v>42611</v>
      </c>
      <c r="D92" s="31">
        <v>8603.9</v>
      </c>
      <c r="F92" s="73"/>
      <c r="G92" s="416"/>
      <c r="H92" s="416"/>
      <c r="I92" s="131"/>
      <c r="J92" s="423"/>
      <c r="K92" s="423"/>
      <c r="L92" s="423"/>
      <c r="M92" s="423"/>
      <c r="N92" s="423"/>
      <c r="O92" s="422"/>
      <c r="P92" s="422"/>
    </row>
    <row r="93" spans="3:14" ht="15.75" customHeight="1">
      <c r="C93" s="87"/>
      <c r="F93" s="73"/>
      <c r="G93" s="418"/>
      <c r="H93" s="418"/>
      <c r="I93" s="139"/>
      <c r="J93" s="419"/>
      <c r="K93" s="419"/>
      <c r="L93" s="419"/>
      <c r="M93" s="419"/>
      <c r="N93" s="419"/>
    </row>
    <row r="94" spans="2:14" ht="18" customHeight="1">
      <c r="B94" s="420" t="s">
        <v>57</v>
      </c>
      <c r="C94" s="421"/>
      <c r="D94" s="148">
        <f>'[1]залишки  (2)'!$G$6/1000</f>
        <v>6623.20142</v>
      </c>
      <c r="E94" s="74"/>
      <c r="F94" s="140" t="s">
        <v>137</v>
      </c>
      <c r="G94" s="416"/>
      <c r="H94" s="416"/>
      <c r="I94" s="141"/>
      <c r="J94" s="419"/>
      <c r="K94" s="419"/>
      <c r="L94" s="419"/>
      <c r="M94" s="419"/>
      <c r="N94" s="419"/>
    </row>
    <row r="95" spans="6:13" ht="9.75" customHeight="1">
      <c r="F95" s="73"/>
      <c r="G95" s="416"/>
      <c r="H95" s="416"/>
      <c r="I95" s="73"/>
      <c r="J95" s="74"/>
      <c r="K95" s="74"/>
      <c r="L95" s="74"/>
      <c r="M95" s="74"/>
    </row>
    <row r="96" spans="2:13" ht="22.5" customHeight="1" hidden="1">
      <c r="B96" s="414" t="s">
        <v>60</v>
      </c>
      <c r="C96" s="415"/>
      <c r="D96" s="86">
        <v>0</v>
      </c>
      <c r="E96" s="56" t="s">
        <v>24</v>
      </c>
      <c r="F96" s="73"/>
      <c r="G96" s="416"/>
      <c r="H96" s="416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7"/>
      <c r="P98" s="417"/>
    </row>
    <row r="99" spans="15:16" ht="15">
      <c r="O99" s="416"/>
      <c r="P99" s="416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7" t="s">
        <v>188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92"/>
      <c r="S1" s="93"/>
    </row>
    <row r="2" spans="2:19" s="1" customFormat="1" ht="15.75" customHeight="1">
      <c r="B2" s="438"/>
      <c r="C2" s="438"/>
      <c r="D2" s="438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9"/>
      <c r="B3" s="441"/>
      <c r="C3" s="442" t="s">
        <v>0</v>
      </c>
      <c r="D3" s="443" t="s">
        <v>121</v>
      </c>
      <c r="E3" s="34"/>
      <c r="F3" s="444" t="s">
        <v>26</v>
      </c>
      <c r="G3" s="445"/>
      <c r="H3" s="445"/>
      <c r="I3" s="445"/>
      <c r="J3" s="446"/>
      <c r="K3" s="89"/>
      <c r="L3" s="89"/>
      <c r="M3" s="89"/>
      <c r="N3" s="447" t="s">
        <v>183</v>
      </c>
      <c r="O3" s="448" t="s">
        <v>184</v>
      </c>
      <c r="P3" s="448"/>
      <c r="Q3" s="448"/>
      <c r="R3" s="448"/>
      <c r="S3" s="448"/>
    </row>
    <row r="4" spans="1:19" ht="22.5" customHeight="1">
      <c r="A4" s="439"/>
      <c r="B4" s="441"/>
      <c r="C4" s="442"/>
      <c r="D4" s="443"/>
      <c r="E4" s="449" t="s">
        <v>179</v>
      </c>
      <c r="F4" s="431" t="s">
        <v>34</v>
      </c>
      <c r="G4" s="424" t="s">
        <v>180</v>
      </c>
      <c r="H4" s="433" t="s">
        <v>181</v>
      </c>
      <c r="I4" s="424" t="s">
        <v>122</v>
      </c>
      <c r="J4" s="433" t="s">
        <v>123</v>
      </c>
      <c r="K4" s="91" t="s">
        <v>186</v>
      </c>
      <c r="L4" s="249" t="s">
        <v>185</v>
      </c>
      <c r="M4" s="96" t="s">
        <v>64</v>
      </c>
      <c r="N4" s="433"/>
      <c r="O4" s="435" t="s">
        <v>189</v>
      </c>
      <c r="P4" s="424" t="s">
        <v>50</v>
      </c>
      <c r="Q4" s="426" t="s">
        <v>49</v>
      </c>
      <c r="R4" s="97" t="s">
        <v>65</v>
      </c>
      <c r="S4" s="98" t="s">
        <v>64</v>
      </c>
    </row>
    <row r="5" spans="1:19" ht="67.5" customHeight="1">
      <c r="A5" s="440"/>
      <c r="B5" s="441"/>
      <c r="C5" s="442"/>
      <c r="D5" s="443"/>
      <c r="E5" s="450"/>
      <c r="F5" s="432"/>
      <c r="G5" s="425"/>
      <c r="H5" s="434"/>
      <c r="I5" s="425"/>
      <c r="J5" s="434"/>
      <c r="K5" s="427" t="s">
        <v>182</v>
      </c>
      <c r="L5" s="428"/>
      <c r="M5" s="429"/>
      <c r="N5" s="434"/>
      <c r="O5" s="436"/>
      <c r="P5" s="425"/>
      <c r="Q5" s="426"/>
      <c r="R5" s="427" t="s">
        <v>120</v>
      </c>
      <c r="S5" s="429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0"/>
      <c r="H89" s="430"/>
      <c r="I89" s="430"/>
      <c r="J89" s="430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2"/>
      <c r="P90" s="422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6"/>
      <c r="H91" s="416"/>
      <c r="I91" s="131"/>
      <c r="J91" s="419"/>
      <c r="K91" s="419"/>
      <c r="L91" s="419"/>
      <c r="M91" s="419"/>
      <c r="N91" s="419"/>
      <c r="O91" s="422"/>
      <c r="P91" s="422"/>
    </row>
    <row r="92" spans="3:16" ht="15.75" customHeight="1">
      <c r="C92" s="87">
        <v>42578</v>
      </c>
      <c r="D92" s="31">
        <v>8357.1</v>
      </c>
      <c r="F92" s="73"/>
      <c r="G92" s="416"/>
      <c r="H92" s="416"/>
      <c r="I92" s="131"/>
      <c r="J92" s="423"/>
      <c r="K92" s="423"/>
      <c r="L92" s="423"/>
      <c r="M92" s="423"/>
      <c r="N92" s="423"/>
      <c r="O92" s="422"/>
      <c r="P92" s="422"/>
    </row>
    <row r="93" spans="3:14" ht="15.75" customHeight="1">
      <c r="C93" s="87"/>
      <c r="F93" s="73"/>
      <c r="G93" s="418"/>
      <c r="H93" s="418"/>
      <c r="I93" s="139"/>
      <c r="J93" s="419"/>
      <c r="K93" s="419"/>
      <c r="L93" s="419"/>
      <c r="M93" s="419"/>
      <c r="N93" s="419"/>
    </row>
    <row r="94" spans="2:14" ht="18.75" customHeight="1">
      <c r="B94" s="420" t="s">
        <v>57</v>
      </c>
      <c r="C94" s="421"/>
      <c r="D94" s="148">
        <v>14372.98265</v>
      </c>
      <c r="E94" s="74"/>
      <c r="F94" s="140" t="s">
        <v>137</v>
      </c>
      <c r="G94" s="416"/>
      <c r="H94" s="416"/>
      <c r="I94" s="141"/>
      <c r="J94" s="419"/>
      <c r="K94" s="419"/>
      <c r="L94" s="419"/>
      <c r="M94" s="419"/>
      <c r="N94" s="419"/>
    </row>
    <row r="95" spans="6:13" ht="9.75" customHeight="1" hidden="1">
      <c r="F95" s="73"/>
      <c r="G95" s="416"/>
      <c r="H95" s="416"/>
      <c r="I95" s="73"/>
      <c r="J95" s="74"/>
      <c r="K95" s="74"/>
      <c r="L95" s="74"/>
      <c r="M95" s="74"/>
    </row>
    <row r="96" spans="2:13" ht="22.5" customHeight="1" hidden="1">
      <c r="B96" s="414" t="s">
        <v>60</v>
      </c>
      <c r="C96" s="415"/>
      <c r="D96" s="86">
        <v>0</v>
      </c>
      <c r="E96" s="56" t="s">
        <v>24</v>
      </c>
      <c r="F96" s="73"/>
      <c r="G96" s="416"/>
      <c r="H96" s="416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7"/>
      <c r="P98" s="417"/>
    </row>
    <row r="99" spans="15:16" ht="15">
      <c r="O99" s="416"/>
      <c r="P99" s="416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5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0" sqref="F6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1" t="s">
        <v>177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9"/>
      <c r="B3" s="441"/>
      <c r="C3" s="442" t="s">
        <v>0</v>
      </c>
      <c r="D3" s="443" t="s">
        <v>121</v>
      </c>
      <c r="E3" s="34"/>
      <c r="F3" s="444" t="s">
        <v>26</v>
      </c>
      <c r="G3" s="445"/>
      <c r="H3" s="445"/>
      <c r="I3" s="445"/>
      <c r="J3" s="446"/>
      <c r="K3" s="89"/>
      <c r="L3" s="89"/>
      <c r="M3" s="447" t="s">
        <v>172</v>
      </c>
      <c r="N3" s="426" t="s">
        <v>173</v>
      </c>
      <c r="O3" s="426"/>
      <c r="P3" s="426"/>
      <c r="Q3" s="426"/>
      <c r="R3" s="426"/>
    </row>
    <row r="4" spans="1:18" ht="22.5" customHeight="1">
      <c r="A4" s="439"/>
      <c r="B4" s="441"/>
      <c r="C4" s="442"/>
      <c r="D4" s="443"/>
      <c r="E4" s="449" t="s">
        <v>170</v>
      </c>
      <c r="F4" s="452" t="s">
        <v>34</v>
      </c>
      <c r="G4" s="424" t="s">
        <v>171</v>
      </c>
      <c r="H4" s="433" t="s">
        <v>175</v>
      </c>
      <c r="I4" s="424" t="s">
        <v>122</v>
      </c>
      <c r="J4" s="433" t="s">
        <v>123</v>
      </c>
      <c r="K4" s="248" t="s">
        <v>65</v>
      </c>
      <c r="L4" s="283" t="s">
        <v>64</v>
      </c>
      <c r="M4" s="433"/>
      <c r="N4" s="435" t="s">
        <v>178</v>
      </c>
      <c r="O4" s="424" t="s">
        <v>50</v>
      </c>
      <c r="P4" s="426" t="s">
        <v>49</v>
      </c>
      <c r="Q4" s="284" t="s">
        <v>65</v>
      </c>
      <c r="R4" s="285" t="s">
        <v>64</v>
      </c>
    </row>
    <row r="5" spans="1:18" ht="67.5" customHeight="1">
      <c r="A5" s="440"/>
      <c r="B5" s="441"/>
      <c r="C5" s="442"/>
      <c r="D5" s="443"/>
      <c r="E5" s="450"/>
      <c r="F5" s="453"/>
      <c r="G5" s="425"/>
      <c r="H5" s="434"/>
      <c r="I5" s="425"/>
      <c r="J5" s="434"/>
      <c r="K5" s="427" t="s">
        <v>174</v>
      </c>
      <c r="L5" s="429"/>
      <c r="M5" s="434"/>
      <c r="N5" s="436"/>
      <c r="O5" s="425"/>
      <c r="P5" s="426"/>
      <c r="Q5" s="427" t="s">
        <v>120</v>
      </c>
      <c r="R5" s="42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0"/>
      <c r="H88" s="430"/>
      <c r="I88" s="430"/>
      <c r="J88" s="430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2"/>
      <c r="O89" s="422"/>
    </row>
    <row r="90" spans="3:15" ht="15">
      <c r="C90" s="87">
        <v>42550</v>
      </c>
      <c r="D90" s="31">
        <v>11029.3</v>
      </c>
      <c r="F90" s="124" t="s">
        <v>59</v>
      </c>
      <c r="G90" s="416"/>
      <c r="H90" s="416"/>
      <c r="I90" s="131"/>
      <c r="J90" s="419"/>
      <c r="K90" s="419"/>
      <c r="L90" s="419"/>
      <c r="M90" s="419"/>
      <c r="N90" s="422"/>
      <c r="O90" s="422"/>
    </row>
    <row r="91" spans="3:15" ht="15.75" customHeight="1">
      <c r="C91" s="87">
        <v>42545</v>
      </c>
      <c r="D91" s="31">
        <v>6499.7</v>
      </c>
      <c r="F91" s="73"/>
      <c r="G91" s="416"/>
      <c r="H91" s="416"/>
      <c r="I91" s="131"/>
      <c r="J91" s="423"/>
      <c r="K91" s="423"/>
      <c r="L91" s="423"/>
      <c r="M91" s="423"/>
      <c r="N91" s="422"/>
      <c r="O91" s="422"/>
    </row>
    <row r="92" spans="3:13" ht="15.75" customHeight="1">
      <c r="C92" s="87"/>
      <c r="F92" s="73"/>
      <c r="G92" s="418"/>
      <c r="H92" s="418"/>
      <c r="I92" s="139"/>
      <c r="J92" s="419"/>
      <c r="K92" s="419"/>
      <c r="L92" s="419"/>
      <c r="M92" s="419"/>
    </row>
    <row r="93" spans="2:13" ht="18.75" customHeight="1">
      <c r="B93" s="420" t="s">
        <v>57</v>
      </c>
      <c r="C93" s="421"/>
      <c r="D93" s="148">
        <v>9447.89588</v>
      </c>
      <c r="E93" s="74"/>
      <c r="F93" s="140" t="s">
        <v>137</v>
      </c>
      <c r="G93" s="416"/>
      <c r="H93" s="416"/>
      <c r="I93" s="141"/>
      <c r="J93" s="419"/>
      <c r="K93" s="419"/>
      <c r="L93" s="419"/>
      <c r="M93" s="419"/>
    </row>
    <row r="94" spans="6:12" ht="9.75" customHeight="1">
      <c r="F94" s="73"/>
      <c r="G94" s="416"/>
      <c r="H94" s="416"/>
      <c r="I94" s="73"/>
      <c r="J94" s="74"/>
      <c r="K94" s="74"/>
      <c r="L94" s="74"/>
    </row>
    <row r="95" spans="2:12" ht="22.5" customHeight="1">
      <c r="B95" s="414" t="s">
        <v>60</v>
      </c>
      <c r="C95" s="415"/>
      <c r="D95" s="86">
        <v>0</v>
      </c>
      <c r="E95" s="56" t="s">
        <v>24</v>
      </c>
      <c r="F95" s="73"/>
      <c r="G95" s="416"/>
      <c r="H95" s="416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7"/>
      <c r="O97" s="417"/>
    </row>
    <row r="98" spans="14:15" ht="15">
      <c r="N98" s="416"/>
      <c r="O98" s="416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7" t="s">
        <v>168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9"/>
      <c r="B3" s="441"/>
      <c r="C3" s="442" t="s">
        <v>0</v>
      </c>
      <c r="D3" s="443" t="s">
        <v>121</v>
      </c>
      <c r="E3" s="34"/>
      <c r="F3" s="444" t="s">
        <v>26</v>
      </c>
      <c r="G3" s="445"/>
      <c r="H3" s="445"/>
      <c r="I3" s="445"/>
      <c r="J3" s="446"/>
      <c r="K3" s="89"/>
      <c r="L3" s="89"/>
      <c r="M3" s="447" t="s">
        <v>162</v>
      </c>
      <c r="N3" s="448" t="s">
        <v>163</v>
      </c>
      <c r="O3" s="448"/>
      <c r="P3" s="448"/>
      <c r="Q3" s="448"/>
      <c r="R3" s="448"/>
    </row>
    <row r="4" spans="1:18" ht="22.5" customHeight="1">
      <c r="A4" s="439"/>
      <c r="B4" s="441"/>
      <c r="C4" s="442"/>
      <c r="D4" s="443"/>
      <c r="E4" s="449" t="s">
        <v>158</v>
      </c>
      <c r="F4" s="454" t="s">
        <v>34</v>
      </c>
      <c r="G4" s="424" t="s">
        <v>159</v>
      </c>
      <c r="H4" s="433" t="s">
        <v>160</v>
      </c>
      <c r="I4" s="424" t="s">
        <v>122</v>
      </c>
      <c r="J4" s="433" t="s">
        <v>123</v>
      </c>
      <c r="K4" s="91" t="s">
        <v>65</v>
      </c>
      <c r="L4" s="96" t="s">
        <v>64</v>
      </c>
      <c r="M4" s="433"/>
      <c r="N4" s="435" t="s">
        <v>169</v>
      </c>
      <c r="O4" s="424" t="s">
        <v>50</v>
      </c>
      <c r="P4" s="426" t="s">
        <v>49</v>
      </c>
      <c r="Q4" s="97" t="s">
        <v>65</v>
      </c>
      <c r="R4" s="98" t="s">
        <v>64</v>
      </c>
    </row>
    <row r="5" spans="1:18" ht="78.75" customHeight="1">
      <c r="A5" s="440"/>
      <c r="B5" s="441"/>
      <c r="C5" s="442"/>
      <c r="D5" s="443"/>
      <c r="E5" s="450"/>
      <c r="F5" s="455"/>
      <c r="G5" s="425"/>
      <c r="H5" s="434"/>
      <c r="I5" s="425"/>
      <c r="J5" s="434"/>
      <c r="K5" s="427" t="s">
        <v>161</v>
      </c>
      <c r="L5" s="429"/>
      <c r="M5" s="434"/>
      <c r="N5" s="436"/>
      <c r="O5" s="425"/>
      <c r="P5" s="426"/>
      <c r="Q5" s="427" t="s">
        <v>120</v>
      </c>
      <c r="R5" s="42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0"/>
      <c r="H88" s="430"/>
      <c r="I88" s="430"/>
      <c r="J88" s="430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2"/>
      <c r="O89" s="422"/>
    </row>
    <row r="90" spans="3:15" ht="15">
      <c r="C90" s="87">
        <v>42520</v>
      </c>
      <c r="D90" s="31">
        <v>8891</v>
      </c>
      <c r="F90" s="124" t="s">
        <v>59</v>
      </c>
      <c r="G90" s="416"/>
      <c r="H90" s="416"/>
      <c r="I90" s="131"/>
      <c r="J90" s="419"/>
      <c r="K90" s="419"/>
      <c r="L90" s="419"/>
      <c r="M90" s="419"/>
      <c r="N90" s="422"/>
      <c r="O90" s="422"/>
    </row>
    <row r="91" spans="3:15" ht="15.75" customHeight="1">
      <c r="C91" s="87">
        <v>42517</v>
      </c>
      <c r="D91" s="31">
        <v>7356.3</v>
      </c>
      <c r="F91" s="73"/>
      <c r="G91" s="416"/>
      <c r="H91" s="416"/>
      <c r="I91" s="131"/>
      <c r="J91" s="423"/>
      <c r="K91" s="423"/>
      <c r="L91" s="423"/>
      <c r="M91" s="423"/>
      <c r="N91" s="422"/>
      <c r="O91" s="422"/>
    </row>
    <row r="92" spans="3:13" ht="15.75" customHeight="1">
      <c r="C92" s="87"/>
      <c r="F92" s="73"/>
      <c r="G92" s="418"/>
      <c r="H92" s="418"/>
      <c r="I92" s="139"/>
      <c r="J92" s="419"/>
      <c r="K92" s="419"/>
      <c r="L92" s="419"/>
      <c r="M92" s="419"/>
    </row>
    <row r="93" spans="2:13" ht="18.75" customHeight="1">
      <c r="B93" s="420" t="s">
        <v>57</v>
      </c>
      <c r="C93" s="421"/>
      <c r="D93" s="148">
        <v>2811.04042</v>
      </c>
      <c r="E93" s="74"/>
      <c r="F93" s="140" t="s">
        <v>137</v>
      </c>
      <c r="G93" s="416"/>
      <c r="H93" s="416"/>
      <c r="I93" s="141"/>
      <c r="J93" s="419"/>
      <c r="K93" s="419"/>
      <c r="L93" s="419"/>
      <c r="M93" s="419"/>
    </row>
    <row r="94" spans="6:12" ht="9.75" customHeight="1">
      <c r="F94" s="73"/>
      <c r="G94" s="416"/>
      <c r="H94" s="416"/>
      <c r="I94" s="73"/>
      <c r="J94" s="74"/>
      <c r="K94" s="74"/>
      <c r="L94" s="74"/>
    </row>
    <row r="95" spans="2:12" ht="22.5" customHeight="1">
      <c r="B95" s="414" t="s">
        <v>60</v>
      </c>
      <c r="C95" s="415"/>
      <c r="D95" s="86">
        <v>0</v>
      </c>
      <c r="E95" s="56" t="s">
        <v>24</v>
      </c>
      <c r="F95" s="73"/>
      <c r="G95" s="416"/>
      <c r="H95" s="416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7"/>
      <c r="O97" s="417"/>
    </row>
    <row r="98" spans="14:15" ht="15">
      <c r="N98" s="416"/>
      <c r="O98" s="416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4" sqref="F5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7" t="s">
        <v>156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9"/>
      <c r="B3" s="441"/>
      <c r="C3" s="442" t="s">
        <v>0</v>
      </c>
      <c r="D3" s="443" t="s">
        <v>121</v>
      </c>
      <c r="E3" s="34"/>
      <c r="F3" s="444" t="s">
        <v>26</v>
      </c>
      <c r="G3" s="445"/>
      <c r="H3" s="445"/>
      <c r="I3" s="445"/>
      <c r="J3" s="446"/>
      <c r="K3" s="89"/>
      <c r="L3" s="89"/>
      <c r="M3" s="447" t="s">
        <v>153</v>
      </c>
      <c r="N3" s="448" t="s">
        <v>154</v>
      </c>
      <c r="O3" s="448"/>
      <c r="P3" s="448"/>
      <c r="Q3" s="448"/>
      <c r="R3" s="448"/>
    </row>
    <row r="4" spans="1:18" ht="22.5" customHeight="1">
      <c r="A4" s="439"/>
      <c r="B4" s="441"/>
      <c r="C4" s="442"/>
      <c r="D4" s="443"/>
      <c r="E4" s="449" t="s">
        <v>150</v>
      </c>
      <c r="F4" s="454" t="s">
        <v>34</v>
      </c>
      <c r="G4" s="424" t="s">
        <v>151</v>
      </c>
      <c r="H4" s="433" t="s">
        <v>152</v>
      </c>
      <c r="I4" s="424" t="s">
        <v>122</v>
      </c>
      <c r="J4" s="433" t="s">
        <v>123</v>
      </c>
      <c r="K4" s="91" t="s">
        <v>65</v>
      </c>
      <c r="L4" s="96" t="s">
        <v>64</v>
      </c>
      <c r="M4" s="433"/>
      <c r="N4" s="435" t="s">
        <v>157</v>
      </c>
      <c r="O4" s="424" t="s">
        <v>50</v>
      </c>
      <c r="P4" s="426" t="s">
        <v>49</v>
      </c>
      <c r="Q4" s="97" t="s">
        <v>65</v>
      </c>
      <c r="R4" s="98" t="s">
        <v>64</v>
      </c>
    </row>
    <row r="5" spans="1:18" ht="78.75" customHeight="1">
      <c r="A5" s="440"/>
      <c r="B5" s="441"/>
      <c r="C5" s="442"/>
      <c r="D5" s="443"/>
      <c r="E5" s="450"/>
      <c r="F5" s="455"/>
      <c r="G5" s="425"/>
      <c r="H5" s="434"/>
      <c r="I5" s="425"/>
      <c r="J5" s="434"/>
      <c r="K5" s="427" t="s">
        <v>155</v>
      </c>
      <c r="L5" s="429"/>
      <c r="M5" s="434"/>
      <c r="N5" s="436"/>
      <c r="O5" s="425"/>
      <c r="P5" s="426"/>
      <c r="Q5" s="427" t="s">
        <v>120</v>
      </c>
      <c r="R5" s="42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0"/>
      <c r="H84" s="430"/>
      <c r="I84" s="430"/>
      <c r="J84" s="430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2"/>
      <c r="O85" s="422"/>
    </row>
    <row r="86" spans="3:15" ht="15">
      <c r="C86" s="87">
        <v>42488</v>
      </c>
      <c r="D86" s="31">
        <v>11419.7</v>
      </c>
      <c r="F86" s="124" t="s">
        <v>59</v>
      </c>
      <c r="G86" s="416"/>
      <c r="H86" s="416"/>
      <c r="I86" s="131"/>
      <c r="J86" s="419"/>
      <c r="K86" s="419"/>
      <c r="L86" s="419"/>
      <c r="M86" s="419"/>
      <c r="N86" s="422"/>
      <c r="O86" s="422"/>
    </row>
    <row r="87" spans="3:15" ht="15.75" customHeight="1">
      <c r="C87" s="87">
        <v>42487</v>
      </c>
      <c r="D87" s="31">
        <v>7800.7</v>
      </c>
      <c r="F87" s="73"/>
      <c r="G87" s="416"/>
      <c r="H87" s="416"/>
      <c r="I87" s="131"/>
      <c r="J87" s="423"/>
      <c r="K87" s="423"/>
      <c r="L87" s="423"/>
      <c r="M87" s="423"/>
      <c r="N87" s="422"/>
      <c r="O87" s="422"/>
    </row>
    <row r="88" spans="3:13" ht="15.75" customHeight="1">
      <c r="C88" s="87"/>
      <c r="F88" s="73"/>
      <c r="G88" s="418"/>
      <c r="H88" s="418"/>
      <c r="I88" s="139"/>
      <c r="J88" s="419"/>
      <c r="K88" s="419"/>
      <c r="L88" s="419"/>
      <c r="M88" s="419"/>
    </row>
    <row r="89" spans="2:13" ht="18.75" customHeight="1">
      <c r="B89" s="420" t="s">
        <v>57</v>
      </c>
      <c r="C89" s="421"/>
      <c r="D89" s="148">
        <v>9087.9705</v>
      </c>
      <c r="E89" s="74"/>
      <c r="F89" s="140" t="s">
        <v>137</v>
      </c>
      <c r="G89" s="416"/>
      <c r="H89" s="416"/>
      <c r="I89" s="141"/>
      <c r="J89" s="419"/>
      <c r="K89" s="419"/>
      <c r="L89" s="419"/>
      <c r="M89" s="419"/>
    </row>
    <row r="90" spans="6:12" ht="9.75" customHeight="1">
      <c r="F90" s="73"/>
      <c r="G90" s="416"/>
      <c r="H90" s="416"/>
      <c r="I90" s="73"/>
      <c r="J90" s="74"/>
      <c r="K90" s="74"/>
      <c r="L90" s="74"/>
    </row>
    <row r="91" spans="2:12" ht="22.5" customHeight="1" hidden="1">
      <c r="B91" s="414" t="s">
        <v>60</v>
      </c>
      <c r="C91" s="415"/>
      <c r="D91" s="86">
        <v>0</v>
      </c>
      <c r="E91" s="56" t="s">
        <v>24</v>
      </c>
      <c r="F91" s="73"/>
      <c r="G91" s="416"/>
      <c r="H91" s="416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6"/>
      <c r="O92" s="416"/>
    </row>
    <row r="93" spans="4:15" ht="15">
      <c r="D93" s="83"/>
      <c r="I93" s="31"/>
      <c r="N93" s="417"/>
      <c r="O93" s="417"/>
    </row>
    <row r="94" spans="14:15" ht="15">
      <c r="N94" s="416"/>
      <c r="O94" s="416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7" t="s">
        <v>148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9"/>
      <c r="B3" s="441"/>
      <c r="C3" s="442" t="s">
        <v>0</v>
      </c>
      <c r="D3" s="443" t="s">
        <v>121</v>
      </c>
      <c r="E3" s="34"/>
      <c r="F3" s="444" t="s">
        <v>26</v>
      </c>
      <c r="G3" s="445"/>
      <c r="H3" s="445"/>
      <c r="I3" s="445"/>
      <c r="J3" s="446"/>
      <c r="K3" s="89"/>
      <c r="L3" s="89"/>
      <c r="M3" s="447" t="s">
        <v>147</v>
      </c>
      <c r="N3" s="448" t="s">
        <v>143</v>
      </c>
      <c r="O3" s="448"/>
      <c r="P3" s="448"/>
      <c r="Q3" s="448"/>
      <c r="R3" s="448"/>
    </row>
    <row r="4" spans="1:18" ht="22.5" customHeight="1">
      <c r="A4" s="439"/>
      <c r="B4" s="441"/>
      <c r="C4" s="442"/>
      <c r="D4" s="443"/>
      <c r="E4" s="449" t="s">
        <v>146</v>
      </c>
      <c r="F4" s="454" t="s">
        <v>34</v>
      </c>
      <c r="G4" s="424" t="s">
        <v>141</v>
      </c>
      <c r="H4" s="433" t="s">
        <v>142</v>
      </c>
      <c r="I4" s="424" t="s">
        <v>122</v>
      </c>
      <c r="J4" s="433" t="s">
        <v>123</v>
      </c>
      <c r="K4" s="91" t="s">
        <v>65</v>
      </c>
      <c r="L4" s="96" t="s">
        <v>64</v>
      </c>
      <c r="M4" s="433"/>
      <c r="N4" s="435" t="s">
        <v>149</v>
      </c>
      <c r="O4" s="424" t="s">
        <v>50</v>
      </c>
      <c r="P4" s="426" t="s">
        <v>49</v>
      </c>
      <c r="Q4" s="97" t="s">
        <v>65</v>
      </c>
      <c r="R4" s="98" t="s">
        <v>64</v>
      </c>
    </row>
    <row r="5" spans="1:18" ht="78.75" customHeight="1">
      <c r="A5" s="440"/>
      <c r="B5" s="441"/>
      <c r="C5" s="442"/>
      <c r="D5" s="443"/>
      <c r="E5" s="450"/>
      <c r="F5" s="455"/>
      <c r="G5" s="425"/>
      <c r="H5" s="434"/>
      <c r="I5" s="425"/>
      <c r="J5" s="434"/>
      <c r="K5" s="427" t="s">
        <v>144</v>
      </c>
      <c r="L5" s="429"/>
      <c r="M5" s="434"/>
      <c r="N5" s="436"/>
      <c r="O5" s="425"/>
      <c r="P5" s="426"/>
      <c r="Q5" s="427" t="s">
        <v>120</v>
      </c>
      <c r="R5" s="42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0"/>
      <c r="H83" s="430"/>
      <c r="I83" s="430"/>
      <c r="J83" s="430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2"/>
      <c r="O84" s="422"/>
    </row>
    <row r="85" spans="3:15" ht="15">
      <c r="C85" s="87">
        <v>42459</v>
      </c>
      <c r="D85" s="31">
        <v>7576.3</v>
      </c>
      <c r="F85" s="124" t="s">
        <v>59</v>
      </c>
      <c r="G85" s="416"/>
      <c r="H85" s="416"/>
      <c r="I85" s="131"/>
      <c r="J85" s="419"/>
      <c r="K85" s="419"/>
      <c r="L85" s="419"/>
      <c r="M85" s="419"/>
      <c r="N85" s="422"/>
      <c r="O85" s="422"/>
    </row>
    <row r="86" spans="3:15" ht="15.75" customHeight="1">
      <c r="C86" s="87">
        <v>42458</v>
      </c>
      <c r="D86" s="31">
        <v>9190.1</v>
      </c>
      <c r="F86" s="73"/>
      <c r="G86" s="416"/>
      <c r="H86" s="416"/>
      <c r="I86" s="131"/>
      <c r="J86" s="423"/>
      <c r="K86" s="423"/>
      <c r="L86" s="423"/>
      <c r="M86" s="423"/>
      <c r="N86" s="422"/>
      <c r="O86" s="422"/>
    </row>
    <row r="87" spans="3:13" ht="15.75" customHeight="1">
      <c r="C87" s="87"/>
      <c r="F87" s="73"/>
      <c r="G87" s="418"/>
      <c r="H87" s="418"/>
      <c r="I87" s="139"/>
      <c r="J87" s="419"/>
      <c r="K87" s="419"/>
      <c r="L87" s="419"/>
      <c r="M87" s="419"/>
    </row>
    <row r="88" spans="2:13" ht="18.75" customHeight="1">
      <c r="B88" s="420" t="s">
        <v>57</v>
      </c>
      <c r="C88" s="421"/>
      <c r="D88" s="148">
        <f>4343.7</f>
        <v>4343.7</v>
      </c>
      <c r="E88" s="74"/>
      <c r="F88" s="140" t="s">
        <v>137</v>
      </c>
      <c r="G88" s="416"/>
      <c r="H88" s="416"/>
      <c r="I88" s="141"/>
      <c r="J88" s="419"/>
      <c r="K88" s="419"/>
      <c r="L88" s="419"/>
      <c r="M88" s="419"/>
    </row>
    <row r="89" spans="6:12" ht="9.75" customHeight="1">
      <c r="F89" s="73"/>
      <c r="G89" s="416"/>
      <c r="H89" s="416"/>
      <c r="I89" s="73"/>
      <c r="J89" s="74"/>
      <c r="K89" s="74"/>
      <c r="L89" s="74"/>
    </row>
    <row r="90" spans="2:12" ht="22.5" customHeight="1" hidden="1">
      <c r="B90" s="414" t="s">
        <v>60</v>
      </c>
      <c r="C90" s="415"/>
      <c r="D90" s="86">
        <v>0</v>
      </c>
      <c r="E90" s="56" t="s">
        <v>24</v>
      </c>
      <c r="F90" s="73"/>
      <c r="G90" s="416"/>
      <c r="H90" s="416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6"/>
      <c r="O91" s="416"/>
    </row>
    <row r="92" spans="4:15" ht="15">
      <c r="D92" s="83"/>
      <c r="I92" s="31"/>
      <c r="N92" s="417"/>
      <c r="O92" s="417"/>
    </row>
    <row r="93" spans="14:15" ht="15">
      <c r="N93" s="416"/>
      <c r="O93" s="416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2016-11-02T12:15:43Z</cp:lastPrinted>
  <dcterms:created xsi:type="dcterms:W3CDTF">2003-07-28T11:27:56Z</dcterms:created>
  <dcterms:modified xsi:type="dcterms:W3CDTF">2016-11-02T14:04:01Z</dcterms:modified>
  <cp:category/>
  <cp:version/>
  <cp:contentType/>
  <cp:contentStatus/>
</cp:coreProperties>
</file>